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ctrlProps/ctrlProp1.xml" ContentType="application/vnd.ms-excel.controlproperties+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227"/>
  <workbookPr autoCompressPictures="0"/>
  <mc:AlternateContent xmlns:mc="http://schemas.openxmlformats.org/markup-compatibility/2006">
    <mc:Choice Requires="x15">
      <x15ac:absPath xmlns:x15ac="http://schemas.microsoft.com/office/spreadsheetml/2010/11/ac" url="https://d.docs.live.net/38a5757c113279a2/Lavori MARIA/Post per Blog/Piani di Lettura/"/>
    </mc:Choice>
  </mc:AlternateContent>
  <xr:revisionPtr revIDLastSave="866" documentId="13_ncr:1_{44FFA2B9-5D52-4FF8-AB02-5BCB808F755C}" xr6:coauthVersionLast="47" xr6:coauthVersionMax="47" xr10:uidLastSave="{75FCDC9A-2E75-4E64-90B5-775015DF2CF5}"/>
  <bookViews>
    <workbookView xWindow="-108" yWindow="-108" windowWidth="23256" windowHeight="12456" xr2:uid="{00000000-000D-0000-FFFF-FFFF00000000}"/>
  </bookViews>
  <sheets>
    <sheet name="PIANO DI LETTURA" sheetId="6" r:id="rId1"/>
  </sheets>
  <definedNames>
    <definedName name="AgoDom1">DATE(AnnoCalendario,8,1)-WEEKDAY(DATE(AnnoCalendario,8,1))+1</definedName>
    <definedName name="AnnoCalendario">'PIANO DI LETTURA'!$M$1</definedName>
    <definedName name="AprDom1">DATE(AnnoCalendario,4,1)-WEEKDAY(DATE(AnnoCalendario,4,1))+1</definedName>
    <definedName name="DicDom1">DATE(AnnoCalendario,12,1)-WEEKDAY(DATE(AnnoCalendario,12,1))+1</definedName>
    <definedName name="FebDom1">DATE(AnnoCalendario,2,1)-WEEKDAY(DATE(AnnoCalendario,2,1))+1</definedName>
    <definedName name="GenDom1">DATE(AnnoCalendario,1,1)-WEEKDAY(DATE(AnnoCalendario,1,1))+1</definedName>
    <definedName name="GiuDom1">DATE(AnnoCalendario,6,1)-WEEKDAY(DATE(AnnoCalendario,6,1))+1</definedName>
    <definedName name="LugDom1">DATE(AnnoCalendario,7,1)-WEEKDAY(DATE(AnnoCalendario,7,1))+1</definedName>
    <definedName name="MagDom1">DATE(AnnoCalendario,5,1)-WEEKDAY(DATE(AnnoCalendario,5,1))+1</definedName>
    <definedName name="MarDom1">DATE(AnnoCalendario,3,1)-WEEKDAY(DATE(AnnoCalendario,3,1))+1</definedName>
    <definedName name="NovDom1">DATE(AnnoCalendario,11,1)-WEEKDAY(DATE(AnnoCalendario,11,1))+1</definedName>
    <definedName name="OttDom1">DATE(AnnoCalendario,10,1)-WEEKDAY(DATE(AnnoCalendario,10,1))+1</definedName>
    <definedName name="SetDom1">DATE(AnnoCalendario,9,1)-WEEKDAY(DATE(AnnoCalendario,9,1))+1</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G17" i="6" l="1"/>
  <c r="M156" i="6"/>
  <c r="G156" i="6"/>
  <c r="M274" i="6"/>
  <c r="M193" i="6" l="1"/>
  <c r="M250" i="6"/>
  <c r="B302" i="6"/>
  <c r="B221" i="6"/>
  <c r="M57" i="6"/>
  <c r="B1" i="6"/>
  <c r="M221" i="6"/>
  <c r="M167" i="6"/>
  <c r="M141" i="6"/>
  <c r="M113" i="6"/>
  <c r="M28" i="6"/>
  <c r="M85" i="6"/>
  <c r="O327" i="6" l="1"/>
  <c r="M327" i="6"/>
  <c r="K327" i="6"/>
  <c r="I327" i="6"/>
  <c r="G327" i="6"/>
  <c r="E327" i="6"/>
  <c r="C327" i="6"/>
  <c r="O325" i="6"/>
  <c r="M325" i="6"/>
  <c r="K325" i="6"/>
  <c r="I325" i="6"/>
  <c r="G325" i="6"/>
  <c r="E325" i="6"/>
  <c r="C325" i="6"/>
  <c r="O323" i="6"/>
  <c r="M323" i="6"/>
  <c r="K323" i="6"/>
  <c r="I323" i="6"/>
  <c r="G323" i="6"/>
  <c r="E323" i="6"/>
  <c r="C323" i="6"/>
  <c r="O321" i="6"/>
  <c r="M321" i="6"/>
  <c r="K321" i="6"/>
  <c r="I321" i="6"/>
  <c r="G321" i="6"/>
  <c r="E321" i="6"/>
  <c r="C321" i="6"/>
  <c r="O319" i="6"/>
  <c r="M319" i="6"/>
  <c r="K319" i="6"/>
  <c r="I319" i="6"/>
  <c r="G319" i="6"/>
  <c r="E319" i="6"/>
  <c r="C319" i="6"/>
  <c r="M302" i="6"/>
  <c r="O299" i="6"/>
  <c r="M299" i="6"/>
  <c r="K299" i="6"/>
  <c r="I299" i="6"/>
  <c r="G299" i="6"/>
  <c r="E299" i="6"/>
  <c r="C299" i="6"/>
  <c r="O297" i="6"/>
  <c r="M297" i="6"/>
  <c r="K297" i="6"/>
  <c r="I297" i="6"/>
  <c r="G297" i="6"/>
  <c r="E297" i="6"/>
  <c r="C297" i="6"/>
  <c r="O295" i="6"/>
  <c r="M295" i="6"/>
  <c r="K295" i="6"/>
  <c r="I295" i="6"/>
  <c r="G295" i="6"/>
  <c r="E295" i="6"/>
  <c r="C295" i="6"/>
  <c r="O293" i="6"/>
  <c r="M293" i="6"/>
  <c r="K293" i="6"/>
  <c r="I293" i="6"/>
  <c r="G293" i="6"/>
  <c r="E293" i="6"/>
  <c r="C293" i="6"/>
  <c r="O291" i="6"/>
  <c r="M291" i="6"/>
  <c r="K291" i="6"/>
  <c r="I291" i="6"/>
  <c r="G291" i="6"/>
  <c r="E291" i="6"/>
  <c r="C291" i="6"/>
  <c r="O246" i="6"/>
  <c r="M246" i="6"/>
  <c r="K246" i="6"/>
  <c r="I246" i="6"/>
  <c r="G246" i="6"/>
  <c r="E246" i="6"/>
  <c r="C246" i="6"/>
  <c r="O244" i="6"/>
  <c r="M244" i="6"/>
  <c r="K244" i="6"/>
  <c r="I244" i="6"/>
  <c r="G244" i="6"/>
  <c r="E244" i="6"/>
  <c r="C244" i="6"/>
  <c r="O242" i="6"/>
  <c r="M242" i="6"/>
  <c r="K242" i="6"/>
  <c r="I242" i="6"/>
  <c r="G242" i="6"/>
  <c r="E242" i="6"/>
  <c r="C242" i="6"/>
  <c r="O240" i="6"/>
  <c r="M240" i="6"/>
  <c r="K240" i="6"/>
  <c r="I240" i="6"/>
  <c r="G240" i="6"/>
  <c r="E240" i="6"/>
  <c r="C240" i="6"/>
  <c r="O238" i="6"/>
  <c r="M238" i="6"/>
  <c r="K238" i="6"/>
  <c r="I238" i="6"/>
  <c r="G238" i="6"/>
  <c r="E238" i="6"/>
  <c r="C238" i="6"/>
  <c r="B274" i="6"/>
  <c r="O271" i="6"/>
  <c r="M271" i="6"/>
  <c r="K271" i="6"/>
  <c r="I271" i="6"/>
  <c r="G271" i="6"/>
  <c r="E271" i="6"/>
  <c r="C271" i="6"/>
  <c r="O269" i="6"/>
  <c r="M269" i="6"/>
  <c r="K269" i="6"/>
  <c r="I269" i="6"/>
  <c r="G269" i="6"/>
  <c r="E269" i="6"/>
  <c r="C269" i="6"/>
  <c r="O267" i="6"/>
  <c r="M267" i="6"/>
  <c r="K267" i="6"/>
  <c r="I267" i="6"/>
  <c r="G267" i="6"/>
  <c r="E267" i="6"/>
  <c r="C267" i="6"/>
  <c r="O265" i="6"/>
  <c r="M265" i="6"/>
  <c r="K265" i="6"/>
  <c r="I265" i="6"/>
  <c r="G265" i="6"/>
  <c r="E265" i="6"/>
  <c r="C265" i="6"/>
  <c r="O263" i="6"/>
  <c r="M263" i="6"/>
  <c r="K263" i="6"/>
  <c r="I263" i="6"/>
  <c r="G263" i="6"/>
  <c r="E263" i="6"/>
  <c r="C263" i="6"/>
  <c r="B250" i="6"/>
  <c r="B193" i="6"/>
  <c r="O217" i="6"/>
  <c r="M217" i="6"/>
  <c r="K217" i="6"/>
  <c r="I217" i="6"/>
  <c r="G217" i="6"/>
  <c r="E217" i="6"/>
  <c r="C217" i="6"/>
  <c r="O215" i="6"/>
  <c r="M215" i="6"/>
  <c r="K215" i="6"/>
  <c r="I215" i="6"/>
  <c r="G215" i="6"/>
  <c r="E215" i="6"/>
  <c r="C215" i="6"/>
  <c r="O213" i="6"/>
  <c r="M213" i="6"/>
  <c r="K213" i="6"/>
  <c r="I213" i="6"/>
  <c r="G213" i="6"/>
  <c r="E213" i="6"/>
  <c r="C213" i="6"/>
  <c r="O211" i="6"/>
  <c r="M211" i="6"/>
  <c r="K211" i="6"/>
  <c r="I211" i="6"/>
  <c r="G211" i="6"/>
  <c r="E211" i="6"/>
  <c r="C211" i="6"/>
  <c r="O209" i="6"/>
  <c r="M209" i="6"/>
  <c r="K209" i="6"/>
  <c r="I209" i="6"/>
  <c r="G209" i="6"/>
  <c r="E209" i="6"/>
  <c r="C209" i="6"/>
  <c r="O190" i="6"/>
  <c r="M190" i="6"/>
  <c r="K190" i="6"/>
  <c r="I190" i="6"/>
  <c r="G190" i="6"/>
  <c r="E190" i="6"/>
  <c r="C190" i="6"/>
  <c r="O188" i="6"/>
  <c r="M188" i="6"/>
  <c r="K188" i="6"/>
  <c r="I188" i="6"/>
  <c r="G188" i="6"/>
  <c r="E188" i="6"/>
  <c r="C188" i="6"/>
  <c r="O186" i="6"/>
  <c r="M186" i="6"/>
  <c r="K186" i="6"/>
  <c r="I186" i="6"/>
  <c r="G186" i="6"/>
  <c r="E186" i="6"/>
  <c r="C186" i="6"/>
  <c r="O184" i="6"/>
  <c r="M184" i="6"/>
  <c r="K184" i="6"/>
  <c r="I184" i="6"/>
  <c r="G184" i="6"/>
  <c r="E184" i="6"/>
  <c r="C184" i="6"/>
  <c r="O182" i="6"/>
  <c r="M182" i="6"/>
  <c r="K182" i="6"/>
  <c r="I182" i="6"/>
  <c r="G182" i="6"/>
  <c r="E182" i="6"/>
  <c r="C182" i="6"/>
  <c r="B167" i="6"/>
  <c r="O164" i="6"/>
  <c r="M164" i="6"/>
  <c r="K164" i="6"/>
  <c r="I164" i="6"/>
  <c r="G164" i="6"/>
  <c r="E164" i="6"/>
  <c r="C164" i="6"/>
  <c r="O162" i="6"/>
  <c r="M162" i="6"/>
  <c r="K162" i="6"/>
  <c r="I162" i="6"/>
  <c r="G162" i="6"/>
  <c r="E162" i="6"/>
  <c r="C162" i="6"/>
  <c r="O160" i="6"/>
  <c r="M160" i="6"/>
  <c r="K160" i="6"/>
  <c r="I160" i="6"/>
  <c r="G160" i="6"/>
  <c r="E160" i="6"/>
  <c r="C160" i="6"/>
  <c r="O158" i="6"/>
  <c r="M158" i="6"/>
  <c r="K158" i="6"/>
  <c r="I158" i="6"/>
  <c r="G158" i="6"/>
  <c r="E158" i="6"/>
  <c r="C158" i="6"/>
  <c r="O156" i="6"/>
  <c r="K156" i="6"/>
  <c r="I156" i="6"/>
  <c r="E156" i="6"/>
  <c r="C156" i="6"/>
  <c r="B141" i="6"/>
  <c r="O138" i="6"/>
  <c r="M138" i="6"/>
  <c r="K138" i="6"/>
  <c r="I138" i="6"/>
  <c r="G138" i="6"/>
  <c r="E138" i="6"/>
  <c r="C138" i="6"/>
  <c r="O136" i="6"/>
  <c r="M136" i="6"/>
  <c r="K136" i="6"/>
  <c r="I136" i="6"/>
  <c r="G136" i="6"/>
  <c r="E136" i="6"/>
  <c r="C136" i="6"/>
  <c r="O134" i="6"/>
  <c r="M134" i="6"/>
  <c r="K134" i="6"/>
  <c r="I134" i="6"/>
  <c r="G134" i="6"/>
  <c r="E134" i="6"/>
  <c r="C134" i="6"/>
  <c r="O132" i="6"/>
  <c r="M132" i="6"/>
  <c r="K132" i="6"/>
  <c r="I132" i="6"/>
  <c r="G132" i="6"/>
  <c r="E132" i="6"/>
  <c r="C132" i="6"/>
  <c r="O130" i="6"/>
  <c r="M130" i="6"/>
  <c r="K130" i="6"/>
  <c r="I130" i="6"/>
  <c r="G130" i="6"/>
  <c r="E130" i="6"/>
  <c r="C130" i="6"/>
  <c r="B113" i="6"/>
  <c r="O110" i="6"/>
  <c r="M110" i="6"/>
  <c r="K110" i="6"/>
  <c r="I110" i="6"/>
  <c r="G110" i="6"/>
  <c r="E110" i="6"/>
  <c r="C110" i="6"/>
  <c r="O108" i="6"/>
  <c r="M108" i="6"/>
  <c r="K108" i="6"/>
  <c r="I108" i="6"/>
  <c r="G108" i="6"/>
  <c r="E108" i="6"/>
  <c r="C108" i="6"/>
  <c r="O106" i="6"/>
  <c r="M106" i="6"/>
  <c r="K106" i="6"/>
  <c r="I106" i="6"/>
  <c r="G106" i="6"/>
  <c r="E106" i="6"/>
  <c r="C106" i="6"/>
  <c r="O104" i="6"/>
  <c r="M104" i="6"/>
  <c r="K104" i="6"/>
  <c r="I104" i="6"/>
  <c r="G104" i="6"/>
  <c r="E104" i="6"/>
  <c r="C104" i="6"/>
  <c r="O102" i="6"/>
  <c r="M102" i="6"/>
  <c r="K102" i="6"/>
  <c r="I102" i="6"/>
  <c r="G102" i="6"/>
  <c r="E102" i="6"/>
  <c r="C102" i="6"/>
  <c r="B85" i="6"/>
  <c r="O82" i="6"/>
  <c r="M82" i="6"/>
  <c r="K82" i="6"/>
  <c r="I82" i="6"/>
  <c r="G82" i="6"/>
  <c r="E82" i="6"/>
  <c r="C82" i="6"/>
  <c r="O80" i="6"/>
  <c r="M80" i="6"/>
  <c r="K80" i="6"/>
  <c r="I80" i="6"/>
  <c r="G80" i="6"/>
  <c r="E80" i="6"/>
  <c r="C80" i="6"/>
  <c r="O78" i="6"/>
  <c r="M78" i="6"/>
  <c r="K78" i="6"/>
  <c r="I78" i="6"/>
  <c r="G78" i="6"/>
  <c r="E78" i="6"/>
  <c r="C78" i="6"/>
  <c r="O76" i="6"/>
  <c r="M76" i="6"/>
  <c r="K76" i="6"/>
  <c r="I76" i="6"/>
  <c r="G76" i="6"/>
  <c r="E76" i="6"/>
  <c r="C76" i="6"/>
  <c r="O74" i="6"/>
  <c r="M74" i="6"/>
  <c r="K74" i="6"/>
  <c r="I74" i="6"/>
  <c r="G74" i="6"/>
  <c r="E74" i="6"/>
  <c r="C74" i="6"/>
  <c r="B57" i="6"/>
  <c r="O53" i="6"/>
  <c r="M53" i="6"/>
  <c r="K53" i="6"/>
  <c r="I53" i="6"/>
  <c r="G53" i="6"/>
  <c r="E53" i="6"/>
  <c r="C53" i="6"/>
  <c r="O51" i="6"/>
  <c r="M51" i="6"/>
  <c r="K51" i="6"/>
  <c r="I51" i="6"/>
  <c r="G51" i="6"/>
  <c r="E51" i="6"/>
  <c r="C51" i="6"/>
  <c r="O49" i="6"/>
  <c r="M49" i="6"/>
  <c r="K49" i="6"/>
  <c r="I49" i="6"/>
  <c r="G49" i="6"/>
  <c r="E49" i="6"/>
  <c r="C49" i="6"/>
  <c r="O47" i="6"/>
  <c r="M47" i="6"/>
  <c r="K47" i="6"/>
  <c r="I47" i="6"/>
  <c r="G47" i="6"/>
  <c r="E47" i="6"/>
  <c r="C47" i="6"/>
  <c r="O45" i="6"/>
  <c r="M45" i="6"/>
  <c r="K45" i="6"/>
  <c r="I45" i="6"/>
  <c r="G45" i="6"/>
  <c r="E45" i="6"/>
  <c r="C45" i="6"/>
  <c r="B28" i="6"/>
  <c r="O25" i="6" l="1"/>
  <c r="M25" i="6"/>
  <c r="K25" i="6"/>
  <c r="I25" i="6"/>
  <c r="G25" i="6"/>
  <c r="E25" i="6"/>
  <c r="C25" i="6"/>
  <c r="O23" i="6"/>
  <c r="M23" i="6"/>
  <c r="K23" i="6"/>
  <c r="I23" i="6"/>
  <c r="G23" i="6"/>
  <c r="E23" i="6"/>
  <c r="C23" i="6"/>
  <c r="O21" i="6"/>
  <c r="M21" i="6"/>
  <c r="K21" i="6"/>
  <c r="I21" i="6"/>
  <c r="G21" i="6"/>
  <c r="E21" i="6"/>
  <c r="C21" i="6"/>
  <c r="O19" i="6"/>
  <c r="M19" i="6"/>
  <c r="K19" i="6"/>
  <c r="I19" i="6"/>
  <c r="G19" i="6"/>
  <c r="E19" i="6"/>
  <c r="C19" i="6"/>
  <c r="O17" i="6"/>
  <c r="M17" i="6"/>
  <c r="K17" i="6"/>
  <c r="I17" i="6"/>
  <c r="E17" i="6"/>
  <c r="C17" i="6"/>
</calcChain>
</file>

<file path=xl/sharedStrings.xml><?xml version="1.0" encoding="utf-8"?>
<sst xmlns="http://schemas.openxmlformats.org/spreadsheetml/2006/main" count="563" uniqueCount="390">
  <si>
    <t>L'etichetta di gennaio si trova nella cella a destra. Immettere l'anno nella cella M2 o usare la casella di selezione per cambiare l'anno.</t>
  </si>
  <si>
    <t>Questa cella contiene l'immagine.</t>
  </si>
  <si>
    <t>Utilizzare la casella di selezione per cambiare l'anno del calendario</t>
  </si>
  <si>
    <t>Immettere la propria immagine nella cella a destra. Immettere le note mensili nella cella J3. L'istruzione successiva si trova nella cella A18.</t>
  </si>
  <si>
    <t xml:space="preserve">NOTE
</t>
  </si>
  <si>
    <t>Il calendario di gennaio si trova nelle celle da B18 a O35. I nomi dei giorni della settimana si trovano in questa riga, celle da B18 a N18.</t>
  </si>
  <si>
    <t>LUNEDÌ</t>
  </si>
  <si>
    <t xml:space="preserve"> </t>
  </si>
  <si>
    <t>MARTEDÌ</t>
  </si>
  <si>
    <t xml:space="preserve">  </t>
  </si>
  <si>
    <t>MERCOLEDÌ</t>
  </si>
  <si>
    <t xml:space="preserve">   </t>
  </si>
  <si>
    <t>GIOVEDÌ</t>
  </si>
  <si>
    <t xml:space="preserve">    </t>
  </si>
  <si>
    <t>VENERDÌ</t>
  </si>
  <si>
    <t xml:space="preserve">     </t>
  </si>
  <si>
    <t>SABATO</t>
  </si>
  <si>
    <t>DOMENICA</t>
  </si>
  <si>
    <t xml:space="preserve">      </t>
  </si>
  <si>
    <t>Le date vengono aggiornate automaticamente in questa cella e nelle righe 22, 25, 28, 31 e 34. Se il primo giorno non è il numero 1, viene utilizzato il giorno del mese precedente.</t>
  </si>
  <si>
    <t>Immettere le note giornaliere in questa cella e nelle righe 23, 26, 29, 32 e 35. L'istruzione successiva si trova nella cella A38.</t>
  </si>
  <si>
    <t>GENESI 1-3</t>
  </si>
  <si>
    <t>GENESI 4-6</t>
  </si>
  <si>
    <t>GENESI 7-9</t>
  </si>
  <si>
    <t>GENESI 10-12</t>
  </si>
  <si>
    <t>GENESI 13-15</t>
  </si>
  <si>
    <t>GENESI 16-18</t>
  </si>
  <si>
    <t>GENESI 19-21</t>
  </si>
  <si>
    <t>GENESI 22-25</t>
  </si>
  <si>
    <t>GENESI 26-28</t>
  </si>
  <si>
    <t>GENESI 29-31</t>
  </si>
  <si>
    <t>GENESI 32-34</t>
  </si>
  <si>
    <t>GENESI 35-37</t>
  </si>
  <si>
    <t>GENESI 38-40</t>
  </si>
  <si>
    <t>GENESI 41-43</t>
  </si>
  <si>
    <t>GENESI 44-46</t>
  </si>
  <si>
    <t>GENESI 47-50</t>
  </si>
  <si>
    <t>ESODO 1-4</t>
  </si>
  <si>
    <t>ESODO 5-7</t>
  </si>
  <si>
    <t>ESODO 8-10</t>
  </si>
  <si>
    <t>ESODO 11-13</t>
  </si>
  <si>
    <t>ESODO 14-16</t>
  </si>
  <si>
    <t>ESODO 17-19</t>
  </si>
  <si>
    <t>ESODO 20-22</t>
  </si>
  <si>
    <t>ESODO 23-25</t>
  </si>
  <si>
    <t>ESODO 26-28</t>
  </si>
  <si>
    <t>ESODO 29-31</t>
  </si>
  <si>
    <t>L'etichetta di febbraio si trova nella cella a destra. L'anno viene aggiornato automaticamente nella cella M38.</t>
  </si>
  <si>
    <t>Immettere la propria immagine nella cella a destra. Immettere le note mensili nella cella J39. L'istruzione successiva si trova nella cella A54.</t>
  </si>
  <si>
    <t>Il calendario di febbraio si trova nelle celle da B54 a O71. I nomi dei giorni della settimana si trovano in questa riga, celle da B54 a N54.</t>
  </si>
  <si>
    <t xml:space="preserve">       </t>
  </si>
  <si>
    <t>Le date vengono aggiornate automaticamente in questa cella e nelle righe 58, 61, 64, 67 e 70. Se il primo giorno non è il numero 1, viene utilizzato il giorno del mese precedente.</t>
  </si>
  <si>
    <t>Immettere le note giornaliere in questa cella e nelle righe 59, 62, 65, 68 e 71. L'istruzione successiva si trova nella cella A74.</t>
  </si>
  <si>
    <t>ESODO 32-34</t>
  </si>
  <si>
    <t>ESODO 35-37</t>
  </si>
  <si>
    <t>ESODO 38-40</t>
  </si>
  <si>
    <t>LEVITICO 1-3</t>
  </si>
  <si>
    <t>LEVITICO 7-9</t>
  </si>
  <si>
    <t>LEVITICO 10-12</t>
  </si>
  <si>
    <t>LEVITICO 13-15</t>
  </si>
  <si>
    <t>LEVITICO 16-18</t>
  </si>
  <si>
    <t>LEVITICO 19-21</t>
  </si>
  <si>
    <t>LEVITICO 22-24</t>
  </si>
  <si>
    <t>LEVITICO 25-27</t>
  </si>
  <si>
    <t>NUMERI 1-3</t>
  </si>
  <si>
    <t>NUMERI 4-6</t>
  </si>
  <si>
    <t>NUMERI 7-9</t>
  </si>
  <si>
    <t>NUMERI 10-12</t>
  </si>
  <si>
    <t>NUMERI 13-15</t>
  </si>
  <si>
    <t>NUMERI 16-18</t>
  </si>
  <si>
    <t>NUMERI 19-21</t>
  </si>
  <si>
    <t>NUMERI 22-24</t>
  </si>
  <si>
    <t>NUMERI 25-27</t>
  </si>
  <si>
    <t>NUMERI 28-30</t>
  </si>
  <si>
    <t>NUMERI 31-33</t>
  </si>
  <si>
    <t>NUMERI 34-36</t>
  </si>
  <si>
    <t>L'etichetta di marzo si trova nella cella a destra. L'anno viene aggiornato automaticamente nella cella M74.</t>
  </si>
  <si>
    <t>Immettere la propria immagine nella cella a destra. Immettere le note mensili nella cella J75. L'istruzione successiva si trova nella cella A90.</t>
  </si>
  <si>
    <t>Il calendario di marzo si trova nelle celle da B90 a O107. I nomi dei giorni della settimana si trovano in questa riga, celle da B90 a N90.</t>
  </si>
  <si>
    <t>Le date vengono aggiornate automaticamente in questa cella e nelle righe 94, 97, 100, 103 e 106. Se il primo giorno non è il numero 1, viene utilizzato il giorno del mese precedente.</t>
  </si>
  <si>
    <t>Immettere le note giornaliere in questa cella e nelle righe 95, 98, 101, 104 e 107. L’istruzione successiva si trova nella cella A110.</t>
  </si>
  <si>
    <t>DEUTEONOMIO 4-6</t>
  </si>
  <si>
    <t>DEUTERONOMIO 7-9</t>
  </si>
  <si>
    <t>DEUTERONOMIO 10-12</t>
  </si>
  <si>
    <t>DEUTERONOMIO 13-15</t>
  </si>
  <si>
    <t>DEUTERONOMIO 16-18</t>
  </si>
  <si>
    <t>DEUTERONOMIO 19-21</t>
  </si>
  <si>
    <t>DEUTERONOMIO 22-24</t>
  </si>
  <si>
    <t>DEUTERONOMIO 25-27</t>
  </si>
  <si>
    <t>DEUTERONOMIO 28-30</t>
  </si>
  <si>
    <t>DEUTERONOMIO 31-34</t>
  </si>
  <si>
    <t>GIOSUE' 1-3</t>
  </si>
  <si>
    <t>GIOSUE' 4-6</t>
  </si>
  <si>
    <t>GIOSUE' 7-9</t>
  </si>
  <si>
    <t>GIOSUE' 10-12</t>
  </si>
  <si>
    <t>GIOSUE' 13-15</t>
  </si>
  <si>
    <t>GIOSUE' 16-18</t>
  </si>
  <si>
    <t>GIOSUE' 19-21</t>
  </si>
  <si>
    <t>GIOSUE' 22-24</t>
  </si>
  <si>
    <t>GIUDICI 1-3</t>
  </si>
  <si>
    <t>GIUDICI 4-6</t>
  </si>
  <si>
    <t>GIUDICI 7-9</t>
  </si>
  <si>
    <t>GIUDICI 10-12</t>
  </si>
  <si>
    <t>GIUDICI 13-15</t>
  </si>
  <si>
    <t>GIUDICI 16-18</t>
  </si>
  <si>
    <t>GIUDICI 19-21</t>
  </si>
  <si>
    <t>L'etichetta di aprile si trova nella cella a destra. L'anno viene aggiornato automaticamente nella cella M110.</t>
  </si>
  <si>
    <t>Immettere la propria immagine nella cella a destra. Immettere le note mensili nella cella J111. L'istruzione successiva si trova nella cella A126.</t>
  </si>
  <si>
    <t>Il calendario di aprile si trova nelle celle da B126 a O143. I nomi dei giorni della settimana si trovano in questa riga, celle da B126 a N126.</t>
  </si>
  <si>
    <t>Le date vengono aggiornate automaticamente in questa cella e nelle righe 130, 133, 136, 139 e 142. Se il primo giorno non è il numero 1, viene utilizzato il giorno del mese precedente.</t>
  </si>
  <si>
    <t>Immettere le note giornaliere in questa cella e nelle righe 131, 134, 137, 140 e 143. L'istruzione successiva si trova nella cella A146.</t>
  </si>
  <si>
    <t>1 SAMUELE 1-3</t>
  </si>
  <si>
    <t>1 SAMUELE 4-6</t>
  </si>
  <si>
    <t>1 SAMUELE 7-9</t>
  </si>
  <si>
    <t>1 SAMUELE 10-12</t>
  </si>
  <si>
    <t>1 SAMUELE 13-15</t>
  </si>
  <si>
    <t>1 SAMUELE 16-18</t>
  </si>
  <si>
    <t>1 SAMUELE 19-21</t>
  </si>
  <si>
    <t>1 SAMUELE 22-24</t>
  </si>
  <si>
    <t>1 SAMUELE 25-27</t>
  </si>
  <si>
    <t>1 SAMUELE 28-31</t>
  </si>
  <si>
    <t>2 SAMUELE 1-3</t>
  </si>
  <si>
    <t>2 SAMUELE 4-6</t>
  </si>
  <si>
    <t>2 SAMUELE 7-9</t>
  </si>
  <si>
    <t>2 SAMUELE 10-12</t>
  </si>
  <si>
    <t>2 SAMUELE 13-15</t>
  </si>
  <si>
    <t>2 SAMUELE 16-18</t>
  </si>
  <si>
    <t>2 SAMUELE 19-21</t>
  </si>
  <si>
    <t>2 SAMUELE 22-24</t>
  </si>
  <si>
    <t>1 RE 1-3</t>
  </si>
  <si>
    <t>1 RE 4-6</t>
  </si>
  <si>
    <t>1 RE 7-9</t>
  </si>
  <si>
    <t>1 RE 10-12</t>
  </si>
  <si>
    <t>1 RE 13-16</t>
  </si>
  <si>
    <t>1 RE 17-19</t>
  </si>
  <si>
    <t>1 RE 20-22</t>
  </si>
  <si>
    <t>2 RE 1-3</t>
  </si>
  <si>
    <t>L'etichetta di maggio si trova nella cella a destra. L'anno viene aggiornato automaticamente nella cella M146.</t>
  </si>
  <si>
    <t>Immettere la propria immagine nella cella a destra. Immettere le note mensili nella cella J147. L'istruzione successiva si trova nella cella A162.</t>
  </si>
  <si>
    <t>Il calendario di maggio si trova nelle celle da B162 a O179. I nomi dei giorni della settimana si trovano in questa riga, celle da B162 a N162.</t>
  </si>
  <si>
    <t>Le date vengono aggiornate automaticamente in questa cella e nelle righe 166, 169, 172, 175 e 178. Se il primo giorno non è il numero 1, viene utilizzato il giorno del mese precedente.</t>
  </si>
  <si>
    <t>Immettere le note giornaliere in questa cella e nelle righe 167, 170, 173, 176 e 179. L'istruzione successiva si trova nella cella A182.</t>
  </si>
  <si>
    <t>2 RE 4-6</t>
  </si>
  <si>
    <t>2 RE 7-9</t>
  </si>
  <si>
    <t>2 RE 10-12</t>
  </si>
  <si>
    <t>2 RE 13-16</t>
  </si>
  <si>
    <t>2 RE 17-19</t>
  </si>
  <si>
    <t>2 RE 20-22</t>
  </si>
  <si>
    <t>2 RE 23-25</t>
  </si>
  <si>
    <t>1 CRONACHE 1-4</t>
  </si>
  <si>
    <t>1 CRONACHE 5-7</t>
  </si>
  <si>
    <t>1 CRONACHE 8-11</t>
  </si>
  <si>
    <t>1 CRONACHE 12-14</t>
  </si>
  <si>
    <t>1 CRONACHE 15-17</t>
  </si>
  <si>
    <t>1 CRONACHE 18-20</t>
  </si>
  <si>
    <t>1 CRONACHE 21-23</t>
  </si>
  <si>
    <t>1 CRONACHE 24-26</t>
  </si>
  <si>
    <t>1 CRONACHE 27-29</t>
  </si>
  <si>
    <t>2 CRONACHE 1-3</t>
  </si>
  <si>
    <t>2 CRONACHE 4-6</t>
  </si>
  <si>
    <t>2 CRONACHE 7-9</t>
  </si>
  <si>
    <t>2 CRONACHE 10-12</t>
  </si>
  <si>
    <t>2 CRONACHE 13-15</t>
  </si>
  <si>
    <t>2 CRONACHE 16-18</t>
  </si>
  <si>
    <t>2 CRONACHE 19-21</t>
  </si>
  <si>
    <t>2 CRONACHE 22-24</t>
  </si>
  <si>
    <t>2 CRONACHE 25-27</t>
  </si>
  <si>
    <t>2 CRONACHE 28-30</t>
  </si>
  <si>
    <t>L'etichetta di giugno si trova nella cella a destra. L'anno viene aggiornato automaticamente nella cella M182.</t>
  </si>
  <si>
    <t>Immettere la propria immagine nella cella a destra. Immettere le note mensili nella cella J183. L'istruzione successiva si trova nella cella A198.</t>
  </si>
  <si>
    <t>Il calendario di giugno si trova nelle celle da B198 a O216. I nomi dei giorni della settimana si trovano in questa riga, celle da B198 a N198.</t>
  </si>
  <si>
    <t>Le date vengono aggiornate automaticamente in questa cella e nelle righe 202, 205, 208, 211 e 214. Se il primo giorno non è il numero 1, viene utilizzato il giorno del mese precedente.</t>
  </si>
  <si>
    <t>Immettere le note giornaliere in questa cella e nelle righe 203, 206, 209, 212 e 215. L'istruzione successiva si trova nella cella A218.</t>
  </si>
  <si>
    <t>2 CRONACHE 31-33</t>
  </si>
  <si>
    <t>2 CRONACHE 34-36</t>
  </si>
  <si>
    <t>ESDRA 1-4</t>
  </si>
  <si>
    <t>ESDRA 5-7</t>
  </si>
  <si>
    <t>ESDRA 8-10</t>
  </si>
  <si>
    <t>NEEMIA 1-4</t>
  </si>
  <si>
    <t>NEEMIA 5-7</t>
  </si>
  <si>
    <t>NEEMIA 8-10</t>
  </si>
  <si>
    <t>NEEMIA 11-13</t>
  </si>
  <si>
    <t>ESTER 1-3</t>
  </si>
  <si>
    <t>ESTER 4-7</t>
  </si>
  <si>
    <t>ESTER 8-10</t>
  </si>
  <si>
    <t>GIOBBE 1-3</t>
  </si>
  <si>
    <t>GIOBBE 4-6</t>
  </si>
  <si>
    <t>GIOBBE 7-9</t>
  </si>
  <si>
    <t>GIOBBE 10-12</t>
  </si>
  <si>
    <t>GIOBBE 13-15</t>
  </si>
  <si>
    <t>GIOBBE 16-18</t>
  </si>
  <si>
    <t>GIOBBE 19-21</t>
  </si>
  <si>
    <t>GIOBBE 22-24</t>
  </si>
  <si>
    <t>GIOBBE 25-27</t>
  </si>
  <si>
    <t>GIOBBE 28-30</t>
  </si>
  <si>
    <t>GIOBBE 31-33</t>
  </si>
  <si>
    <t>GIOBBE 34-36</t>
  </si>
  <si>
    <t>GIOBBE 37-39</t>
  </si>
  <si>
    <t>GIOBBE 40-42</t>
  </si>
  <si>
    <t>L'etichetta di luglio si trova nella cella a destra. L'anno viene aggiornato automaticamente nella cella M218.</t>
  </si>
  <si>
    <t>Immettere la propria immagine nella cella a destra. Immettere le note mensili nella cella K219. L'istruzione successiva si trova nella cella A234.</t>
  </si>
  <si>
    <t>Il calendario di luglio si trova nelle celle da B234 a O251. I nomi dei giorni della settimana si trovano in questa riga, celle da B234 a N234.</t>
  </si>
  <si>
    <t>Le date vengono aggiornate automaticamente in questa cella e nelle righe 238, 241, 244, 247 e 250. Se il primo giorno non è il numero 1, viene utilizzato il giorno del mese precedente.</t>
  </si>
  <si>
    <t>Immettere le note giornaliere in questa cella e nelle righe 239, 242, 245, 248 e 251. L'istruzione successiva si trova nella cella A254.</t>
  </si>
  <si>
    <t>SALMI 1-7</t>
  </si>
  <si>
    <t>SALMI 8-11</t>
  </si>
  <si>
    <t>SALMI 12-17</t>
  </si>
  <si>
    <t>SALMI 18-21</t>
  </si>
  <si>
    <t>SALMI 22-26</t>
  </si>
  <si>
    <t>SALMI 27-30</t>
  </si>
  <si>
    <t>SALMI 31-33</t>
  </si>
  <si>
    <t>SALMI 34-36</t>
  </si>
  <si>
    <t>SALMI 37-38</t>
  </si>
  <si>
    <t>SALMI 39-41</t>
  </si>
  <si>
    <t>SALMI 42-45</t>
  </si>
  <si>
    <t>SALMI 46-49</t>
  </si>
  <si>
    <t>SALMI 50-53</t>
  </si>
  <si>
    <t>SALMI 54-58</t>
  </si>
  <si>
    <t>SALMI 59-62</t>
  </si>
  <si>
    <t>SALMI 63-67</t>
  </si>
  <si>
    <t>SALMI 68-70</t>
  </si>
  <si>
    <t>SALMI 71-73</t>
  </si>
  <si>
    <t>SALMI 74-77</t>
  </si>
  <si>
    <t>SALMI 78-81</t>
  </si>
  <si>
    <t>SALMI 82-87</t>
  </si>
  <si>
    <t>SALMI 88-91</t>
  </si>
  <si>
    <t>SALMI 92-98</t>
  </si>
  <si>
    <t>SALMI 99-103</t>
  </si>
  <si>
    <t>SALMI 104-106</t>
  </si>
  <si>
    <t>SALMI 107-112</t>
  </si>
  <si>
    <t>L'etichetta di agosto si trova nella cella a destra. L'anno viene aggiornato automaticamente nella cella M254.</t>
  </si>
  <si>
    <t>Immettere la propria immagine nella cella a destra. Immettere le note mensili nella cella K255. L'istruzione successiva si trova nella cella A270.</t>
  </si>
  <si>
    <t>Il calendario di agosto si trova nelle celle da B270 a O287. I nomi dei giorni della settimana si trovano in questa riga, celle da B270 a N270.</t>
  </si>
  <si>
    <t xml:space="preserve">        </t>
  </si>
  <si>
    <t>Le date vengono aggiornate automaticamente in questa cella e nelle righe 274, 277, 280, 283 e 286. Se il primo giorno non è il numero 1, viene utilizzato il giorno del mese precedente.</t>
  </si>
  <si>
    <t>Immettere le note giornaliere in questa cella e nelle righe 275, 278, 281, 284 e 287. L'istruzione successiva si trova nella cella A290.</t>
  </si>
  <si>
    <t>SALMI 119</t>
  </si>
  <si>
    <t>SALMI 120-130</t>
  </si>
  <si>
    <t>SALMI 131-137</t>
  </si>
  <si>
    <t>SALMI 138-143</t>
  </si>
  <si>
    <t>SALMI 144-150</t>
  </si>
  <si>
    <t>PROVERBI 1-2</t>
  </si>
  <si>
    <t>PROVERBI 3-4</t>
  </si>
  <si>
    <t>PROVERBI 5-6</t>
  </si>
  <si>
    <t>PROVERBI 7-8</t>
  </si>
  <si>
    <t>PROVERBI 9-10</t>
  </si>
  <si>
    <t>PROVERBI 11-12</t>
  </si>
  <si>
    <t>PROVERBI 13-14</t>
  </si>
  <si>
    <t>PROVERBI 15-16</t>
  </si>
  <si>
    <t>PROVERBI 17-18</t>
  </si>
  <si>
    <t>PROVERBI 19-20</t>
  </si>
  <si>
    <t>PROVERBI 21-22</t>
  </si>
  <si>
    <t>PROVERBI 23-24</t>
  </si>
  <si>
    <t>PROVERBI 25-26</t>
  </si>
  <si>
    <t>PROVERBI 27-28</t>
  </si>
  <si>
    <t>PROVERBI 29-31</t>
  </si>
  <si>
    <t>ECCLESIASTE 1-3</t>
  </si>
  <si>
    <t>ECCLESIASTE 4-6</t>
  </si>
  <si>
    <t>ECCLESIASTE 7-9</t>
  </si>
  <si>
    <t>ECCLESIASTE 10-12</t>
  </si>
  <si>
    <t>CANTICO DEI CANTICI 1-4</t>
  </si>
  <si>
    <t>CANTICO DEI CANTICI 5-8</t>
  </si>
  <si>
    <t>L'etichetta di settembre si trova nella cella a destra. L'anno viene aggiornato automaticamente nella cella M290.</t>
  </si>
  <si>
    <t>Immettere la propria immagine nella cella a destra. Immettere le note mensili nella cella K291. L'istruzione successiva si trova nella cella A306.</t>
  </si>
  <si>
    <t>Il calendario di settembre si trova nelle celle da B306 a O323. I nomi dei giorni della settimana si trovano in questa riga, celle da B306 a N306.</t>
  </si>
  <si>
    <t xml:space="preserve">         </t>
  </si>
  <si>
    <t>Le date vengono aggiornate automaticamente in questa cella e nelle righe 310, 313, 316, 319 e 322. Se il primo giorno non è il numero 1, viene utilizzato il giorno del mese precedente.</t>
  </si>
  <si>
    <t>Immettere le note giornaliere in questa cella e nelle righe 311, 314, 317, 320 e 323. L'istruzione successiva si trova nella cella A326.</t>
  </si>
  <si>
    <t>ISAIA 1-3</t>
  </si>
  <si>
    <t>ISAIA 4-6</t>
  </si>
  <si>
    <t>ISAIA 7-9</t>
  </si>
  <si>
    <t>ISAIA 10-12</t>
  </si>
  <si>
    <t>ISAIA 13-15</t>
  </si>
  <si>
    <t>ISAIA 16-18</t>
  </si>
  <si>
    <t>ISAIA 19-21</t>
  </si>
  <si>
    <t>ISAIA 22-24</t>
  </si>
  <si>
    <t>ISAIA 25-27</t>
  </si>
  <si>
    <t>ISAIA 28-30</t>
  </si>
  <si>
    <t>ISAIA 31-33</t>
  </si>
  <si>
    <t>ISAIA 34-36</t>
  </si>
  <si>
    <t>ISAIA 37-39</t>
  </si>
  <si>
    <t>ISAIA 40-42</t>
  </si>
  <si>
    <t>ISAIA 43-45</t>
  </si>
  <si>
    <t>ISAIA 46-48</t>
  </si>
  <si>
    <t>ISAIA 49-51</t>
  </si>
  <si>
    <t>ISAIA 52-54</t>
  </si>
  <si>
    <t>ISAIA 55-57</t>
  </si>
  <si>
    <t>ISAIA 58-60</t>
  </si>
  <si>
    <t>ISAIA 61-63</t>
  </si>
  <si>
    <t>ISAIA 64-66</t>
  </si>
  <si>
    <t>GEREMIA 1-3</t>
  </si>
  <si>
    <t>GEREMIA 4-6</t>
  </si>
  <si>
    <t>GEREMIA 7-9</t>
  </si>
  <si>
    <t>L'etichetta di ottobre si trova nella cella a destra. L'anno viene aggiornato automaticamente nella cella M326.</t>
  </si>
  <si>
    <t>Immettere la propria immagine nella cella a destra. Immettere le note mensili nella cella K327. L'istruzione successiva si trova nella cella A342.</t>
  </si>
  <si>
    <t>Il calendario di ottobre si trova nelle celle da B342 a O359. I nomi dei giorni della settimana si trovano in questa riga, celle da B342 a N342.</t>
  </si>
  <si>
    <t>Le date vengono aggiornate automaticamente in questa cella e nelle righe 346, 349, 352, 355 e 358. Se il primo giorno non è il numero 1, viene utilizzato il giorno del mese precedente.</t>
  </si>
  <si>
    <t>Immettere le note giornaliere in questa cella e nelle righe 347, 350, 353, 356 e 359. L'istruzione successiva si trova nella cella A362.</t>
  </si>
  <si>
    <t>GEREMIA 10-12</t>
  </si>
  <si>
    <t>GEREMIA 13-15</t>
  </si>
  <si>
    <t>GEREMIA 16-18</t>
  </si>
  <si>
    <t>GEREMIA 19-21</t>
  </si>
  <si>
    <t>GEREMIA 22-24</t>
  </si>
  <si>
    <t>GEREMIA 25-27</t>
  </si>
  <si>
    <t>GEREMIA 28-30</t>
  </si>
  <si>
    <t>GEREMIA 31-33</t>
  </si>
  <si>
    <t>GEREMIA 34-36</t>
  </si>
  <si>
    <t>GEREMIA 37-39</t>
  </si>
  <si>
    <t>GEREMIA 40-43</t>
  </si>
  <si>
    <t>GEREMIA 44-46</t>
  </si>
  <si>
    <t>GEREMIA 47-49</t>
  </si>
  <si>
    <t>GEREMIA 50-52</t>
  </si>
  <si>
    <t xml:space="preserve">LAMENTAZIONI </t>
  </si>
  <si>
    <t>EZECHIELE 1-3</t>
  </si>
  <si>
    <t>EZECHIELE 4-6</t>
  </si>
  <si>
    <t>EZECHIELE 7-9</t>
  </si>
  <si>
    <t>EZECHIELE 10-12</t>
  </si>
  <si>
    <t>EZECHIELE 13-15</t>
  </si>
  <si>
    <t>EZECHIELE 16-18</t>
  </si>
  <si>
    <t>EZECHIELE 19-21</t>
  </si>
  <si>
    <t>EZECHIELE 22-24</t>
  </si>
  <si>
    <t>EZECHIELE 25-27</t>
  </si>
  <si>
    <t>EZECHIELE 28-30</t>
  </si>
  <si>
    <t>EZECHIELE 31-33</t>
  </si>
  <si>
    <t>L'etichetta di novembre si trova nella cella a destra. L'anno viene aggiornato automaticamente nella cella M362.</t>
  </si>
  <si>
    <t>Immettere la propria immagine nella cella a destra. Immettere le note mensili nella cella K363. L'istruzione successiva si trova nella cella A378.</t>
  </si>
  <si>
    <t>Il calendario di novembre si trova nelle celle da B378 a O395. I nomi dei giorni della settimana si trovano in questa riga, celle da B378 a N378.</t>
  </si>
  <si>
    <t>Le date vengono aggiornate automaticamente in questa cella e nelle righe 382, 385, 388, 391 e 394. Se il primo giorno non è il numero 1, viene utilizzato il giorno del mese precedente.</t>
  </si>
  <si>
    <t>Immettere le note giornaliere in questa cella e nelle righe 383, 386, 389, 392 e 395. L'istruzione successiva si trova nella cella A398.</t>
  </si>
  <si>
    <t>EZECHIELE 34-36</t>
  </si>
  <si>
    <t>EZECHIELE 37-39</t>
  </si>
  <si>
    <t>EZECHIELE 40-42</t>
  </si>
  <si>
    <t>EZECHIELE 43-45</t>
  </si>
  <si>
    <t>EZECHIELE 46-48</t>
  </si>
  <si>
    <t>DANIELE 1-3</t>
  </si>
  <si>
    <t>DANIELE 4-6</t>
  </si>
  <si>
    <t>DANIELE 7-9</t>
  </si>
  <si>
    <t>DANIELE 10-12</t>
  </si>
  <si>
    <t>OSEA 1-5</t>
  </si>
  <si>
    <t>OSEA 6-9</t>
  </si>
  <si>
    <t>OSEA 10-14</t>
  </si>
  <si>
    <t xml:space="preserve">GIOELE </t>
  </si>
  <si>
    <t>AMOS 1-5</t>
  </si>
  <si>
    <t>AMOS 6-9</t>
  </si>
  <si>
    <t>ABDIA
GIONA</t>
  </si>
  <si>
    <t>MICHEA 1-4</t>
  </si>
  <si>
    <t>MICHEA 5-7</t>
  </si>
  <si>
    <t>NAUM</t>
  </si>
  <si>
    <t>ABACUC</t>
  </si>
  <si>
    <t>SOFONIA</t>
  </si>
  <si>
    <t>AGGEO</t>
  </si>
  <si>
    <t>ZACCARIA 1-5</t>
  </si>
  <si>
    <t>ZACCARIA 6-10</t>
  </si>
  <si>
    <t>ZACCARIA 11-14</t>
  </si>
  <si>
    <t>MALACHIA</t>
  </si>
  <si>
    <t>L'etichetta di dicembre si trova nella cella a destra. L'anno viene aggiornato automaticamente nella cella M398.</t>
  </si>
  <si>
    <t>Immettere la propria immagine nella cella a destra. Immettere le note mensili nella cella K399. L'istruzione successiva si trova nella cella A414.</t>
  </si>
  <si>
    <t>Il calendario di dicembre si trova nelle celle da B411 a O431. I nomi dei giorni della settimana si trovano in questa riga, celle da B411 a N411.</t>
  </si>
  <si>
    <t>Le date vengono aggiornate automaticamente in questa cella e nelle righe 418, 421, 424, 427 e 430. Se il primo giorno non è il numero 1, viene utilizzato il giorno del mese precedente.</t>
  </si>
  <si>
    <t>Immettere le note giornaliere in questa cella e nelle righe 419, 422, 425, 429 e 431.</t>
  </si>
  <si>
    <t>MATTEO 1-4</t>
  </si>
  <si>
    <t>MATTEO 5-7</t>
  </si>
  <si>
    <t>MATTEO 8-10</t>
  </si>
  <si>
    <t>MATTEO 11-13</t>
  </si>
  <si>
    <t>MATTEO 14-16</t>
  </si>
  <si>
    <t>MATTEO 17-19</t>
  </si>
  <si>
    <t>MATTEO 20-22</t>
  </si>
  <si>
    <t>MATTEO 23-25</t>
  </si>
  <si>
    <t>MATTEO 26-28</t>
  </si>
  <si>
    <t>MARCO 1-3</t>
  </si>
  <si>
    <t>MARCO 4-6</t>
  </si>
  <si>
    <t>MARCO 7-9</t>
  </si>
  <si>
    <t>MARCO 10-13</t>
  </si>
  <si>
    <t>MARCO 14-16</t>
  </si>
  <si>
    <t>LUCA 1-4</t>
  </si>
  <si>
    <t>LUCA 5-8</t>
  </si>
  <si>
    <t>LUCA 9-12</t>
  </si>
  <si>
    <t>LUCA 13-16</t>
  </si>
  <si>
    <t>LUCA 17-20</t>
  </si>
  <si>
    <t>LUCA 21-24</t>
  </si>
  <si>
    <t>GIOVANNI 1-3</t>
  </si>
  <si>
    <t>GIOVANNI 4-6</t>
  </si>
  <si>
    <t>GIOVANNI 7-10</t>
  </si>
  <si>
    <t>GIOVANNI 11-13</t>
  </si>
  <si>
    <t>GIOVANNI 14-17</t>
  </si>
  <si>
    <t>GIOVANNI 18-21</t>
  </si>
  <si>
    <t>LEVITICO 4-6</t>
  </si>
  <si>
    <t>Deuteronomio 1-3</t>
  </si>
  <si>
    <t>RUT 1-4</t>
  </si>
  <si>
    <t>SALMI 113-118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</si>
</sst>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7">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 numFmtId="167" formatCode="mmmm"/>
    <numFmt numFmtId="168" formatCode="mmmm\ yyyy"/>
  </numFmts>
  <fonts count="60">
    <font>
      <sz val="12"/>
      <color theme="1"/>
      <name val="Cambria"/>
      <family val="2"/>
      <scheme val="minor"/>
    </font>
    <font>
      <sz val="11"/>
      <color theme="1"/>
      <name val="Cambria"/>
      <family val="2"/>
      <scheme val="minor"/>
    </font>
    <font>
      <b/>
      <sz val="11"/>
      <color theme="0"/>
      <name val="Cambria"/>
      <family val="2"/>
      <scheme val="minor"/>
    </font>
    <font>
      <sz val="11"/>
      <name val="Cambria"/>
      <family val="2"/>
      <scheme val="minor"/>
    </font>
    <font>
      <sz val="10"/>
      <color indexed="63"/>
      <name val="Cambria"/>
      <family val="4"/>
      <scheme val="minor"/>
    </font>
    <font>
      <b/>
      <sz val="28"/>
      <color theme="1" tint="0.34998626667073579"/>
      <name val="Cambria"/>
      <family val="2"/>
      <scheme val="minor"/>
    </font>
    <font>
      <sz val="40"/>
      <color theme="4"/>
      <name val="Cambria"/>
      <family val="1"/>
      <scheme val="major"/>
    </font>
    <font>
      <sz val="11"/>
      <name val="Cambria"/>
      <family val="1"/>
      <scheme val="major"/>
    </font>
    <font>
      <sz val="10"/>
      <color theme="4" tint="-0.249977111117893"/>
      <name val="Cambria"/>
      <family val="1"/>
      <scheme val="major"/>
    </font>
    <font>
      <sz val="40"/>
      <color theme="8"/>
      <name val="Cambria"/>
      <family val="1"/>
      <scheme val="major"/>
    </font>
    <font>
      <sz val="12"/>
      <color theme="1"/>
      <name val="Cambria"/>
      <family val="1"/>
      <scheme val="major"/>
    </font>
    <font>
      <sz val="10"/>
      <name val="Cambria"/>
      <family val="1"/>
      <scheme val="major"/>
    </font>
    <font>
      <sz val="40"/>
      <color theme="5" tint="-0.249977111117893"/>
      <name val="Cambria"/>
      <family val="1"/>
      <scheme val="major"/>
    </font>
    <font>
      <b/>
      <sz val="12"/>
      <color theme="5" tint="-0.249977111117893"/>
      <name val="Cambria"/>
      <family val="1"/>
      <scheme val="major"/>
    </font>
    <font>
      <sz val="40"/>
      <color theme="7" tint="-0.249977111117893"/>
      <name val="Cambria"/>
      <family val="1"/>
      <scheme val="major"/>
    </font>
    <font>
      <b/>
      <sz val="12"/>
      <color theme="7" tint="-0.249977111117893"/>
      <name val="Cambria"/>
      <family val="1"/>
      <scheme val="major"/>
    </font>
    <font>
      <sz val="11"/>
      <color theme="0"/>
      <name val="Cambria"/>
      <family val="1"/>
      <scheme val="minor"/>
    </font>
    <font>
      <sz val="10"/>
      <color theme="4" tint="-0.249977111117893"/>
      <name val="Cambria"/>
      <family val="1"/>
      <scheme val="minor"/>
    </font>
    <font>
      <sz val="10"/>
      <color theme="5" tint="-0.249977111117893"/>
      <name val="Cambria"/>
      <family val="1"/>
      <scheme val="minor"/>
    </font>
    <font>
      <sz val="10"/>
      <color theme="6" tint="-0.249977111117893"/>
      <name val="Cambria"/>
      <family val="1"/>
      <scheme val="minor"/>
    </font>
    <font>
      <sz val="10"/>
      <color theme="7" tint="-0.249977111117893"/>
      <name val="Cambria"/>
      <family val="1"/>
      <scheme val="minor"/>
    </font>
    <font>
      <sz val="40"/>
      <color theme="4" tint="-0.499984740745262"/>
      <name val="Cambria"/>
      <family val="1"/>
      <scheme val="major"/>
    </font>
    <font>
      <b/>
      <sz val="12"/>
      <color theme="4" tint="-0.499984740745262"/>
      <name val="Cambria"/>
      <family val="1"/>
      <scheme val="major"/>
    </font>
    <font>
      <sz val="40"/>
      <color theme="6" tint="-0.499984740745262"/>
      <name val="Cambria"/>
      <family val="1"/>
      <scheme val="major"/>
    </font>
    <font>
      <b/>
      <sz val="12"/>
      <color theme="6" tint="-0.499984740745262"/>
      <name val="Cambria"/>
      <family val="1"/>
      <scheme val="major"/>
    </font>
    <font>
      <b/>
      <sz val="13"/>
      <color theme="3"/>
      <name val="Cambria"/>
      <family val="2"/>
      <scheme val="minor"/>
    </font>
    <font>
      <sz val="12"/>
      <color theme="0"/>
      <name val="Cambria"/>
      <family val="1"/>
      <scheme val="major"/>
    </font>
    <font>
      <sz val="11"/>
      <color theme="1"/>
      <name val="Cambria"/>
      <family val="1"/>
      <scheme val="major"/>
    </font>
    <font>
      <sz val="16"/>
      <color theme="0"/>
      <name val="Cambria"/>
      <family val="1"/>
      <scheme val="major"/>
    </font>
    <font>
      <sz val="11"/>
      <color theme="0"/>
      <name val="Cambria"/>
      <family val="1"/>
    </font>
    <font>
      <sz val="12"/>
      <color theme="1"/>
      <name val="Cambria"/>
      <family val="2"/>
      <scheme val="minor"/>
    </font>
    <font>
      <sz val="18"/>
      <color theme="3"/>
      <name val="Cambria"/>
      <family val="2"/>
      <scheme val="major"/>
    </font>
    <font>
      <b/>
      <sz val="15"/>
      <color theme="3"/>
      <name val="Cambria"/>
      <family val="2"/>
      <scheme val="minor"/>
    </font>
    <font>
      <b/>
      <sz val="11"/>
      <color theme="3"/>
      <name val="Cambria"/>
      <family val="2"/>
      <scheme val="minor"/>
    </font>
    <font>
      <sz val="11"/>
      <color rgb="FF006100"/>
      <name val="Cambria"/>
      <family val="2"/>
      <scheme val="minor"/>
    </font>
    <font>
      <sz val="11"/>
      <color rgb="FF9C0006"/>
      <name val="Cambria"/>
      <family val="2"/>
      <scheme val="minor"/>
    </font>
    <font>
      <sz val="11"/>
      <color rgb="FF9C5700"/>
      <name val="Cambria"/>
      <family val="2"/>
      <scheme val="minor"/>
    </font>
    <font>
      <sz val="11"/>
      <color rgb="FF3F3F76"/>
      <name val="Cambria"/>
      <family val="2"/>
      <scheme val="minor"/>
    </font>
    <font>
      <b/>
      <sz val="11"/>
      <color rgb="FF3F3F3F"/>
      <name val="Cambria"/>
      <family val="2"/>
      <scheme val="minor"/>
    </font>
    <font>
      <b/>
      <sz val="11"/>
      <color rgb="FFFA7D00"/>
      <name val="Cambria"/>
      <family val="2"/>
      <scheme val="minor"/>
    </font>
    <font>
      <sz val="11"/>
      <color rgb="FFFA7D00"/>
      <name val="Cambria"/>
      <family val="2"/>
      <scheme val="minor"/>
    </font>
    <font>
      <sz val="11"/>
      <color rgb="FFFF0000"/>
      <name val="Cambria"/>
      <family val="2"/>
      <scheme val="minor"/>
    </font>
    <font>
      <i/>
      <sz val="11"/>
      <color rgb="FF7F7F7F"/>
      <name val="Cambria"/>
      <family val="2"/>
      <scheme val="minor"/>
    </font>
    <font>
      <b/>
      <sz val="11"/>
      <color theme="1"/>
      <name val="Cambria"/>
      <family val="2"/>
      <scheme val="minor"/>
    </font>
    <font>
      <sz val="11"/>
      <color theme="0"/>
      <name val="Cambria"/>
      <family val="2"/>
      <scheme val="minor"/>
    </font>
    <font>
      <sz val="10"/>
      <color theme="0"/>
      <name val="Cambria"/>
      <family val="1"/>
      <scheme val="minor"/>
    </font>
    <font>
      <sz val="8"/>
      <name val="Cambria"/>
      <family val="2"/>
      <scheme val="minor"/>
    </font>
    <font>
      <sz val="36"/>
      <color theme="0"/>
      <name val="Cambria (Corpo)"/>
    </font>
    <font>
      <sz val="36"/>
      <color theme="4" tint="-0.499984740745262"/>
      <name val="Cambria (Corpo)"/>
    </font>
    <font>
      <sz val="36"/>
      <color theme="8"/>
      <name val="Cambria (Corpo)"/>
    </font>
    <font>
      <sz val="36"/>
      <color theme="4" tint="-0.249977111117893"/>
      <name val="Cambria (Corpo)"/>
    </font>
    <font>
      <sz val="36"/>
      <name val="Cambria (Corpo)"/>
    </font>
    <font>
      <b/>
      <sz val="9"/>
      <color theme="0"/>
      <name val="Cambria"/>
      <family val="1"/>
      <scheme val="minor"/>
    </font>
    <font>
      <b/>
      <sz val="9"/>
      <color theme="4" tint="-0.499984740745262"/>
      <name val="Cambria"/>
      <family val="1"/>
      <scheme val="minor"/>
    </font>
    <font>
      <b/>
      <sz val="9"/>
      <name val="Cambria"/>
      <family val="1"/>
      <scheme val="minor"/>
    </font>
    <font>
      <b/>
      <sz val="9"/>
      <color theme="5" tint="-0.249977111117893"/>
      <name val="Cambria"/>
      <family val="1"/>
      <scheme val="minor"/>
    </font>
    <font>
      <b/>
      <sz val="9"/>
      <color theme="6" tint="-0.499984740745262"/>
      <name val="Cambria"/>
      <family val="1"/>
      <scheme val="minor"/>
    </font>
    <font>
      <b/>
      <sz val="9"/>
      <color theme="7" tint="-0.249977111117893"/>
      <name val="Cambria"/>
      <family val="1"/>
      <scheme val="minor"/>
    </font>
    <font>
      <b/>
      <sz val="11"/>
      <color theme="3" tint="-0.499984740745262"/>
      <name val="Cambria"/>
      <family val="1"/>
      <scheme val="minor"/>
    </font>
    <font>
      <sz val="11"/>
      <color theme="3" tint="-0.499984740745262"/>
      <name val="Cambria"/>
      <family val="1"/>
      <scheme val="minor"/>
    </font>
  </fonts>
  <fills count="42">
    <fill>
      <patternFill patternType="none"/>
    </fill>
    <fill>
      <patternFill patternType="gray125"/>
    </fill>
    <fill>
      <patternFill patternType="solid">
        <fgColor theme="4"/>
      </patternFill>
    </fill>
    <fill>
      <patternFill patternType="solid">
        <fgColor theme="4" tint="0.59999389629810485"/>
        <bgColor indexed="65"/>
      </patternFill>
    </fill>
    <fill>
      <patternFill patternType="solid">
        <fgColor theme="4" tint="-0.499984740745262"/>
        <bgColor indexed="64"/>
      </patternFill>
    </fill>
    <fill>
      <patternFill patternType="solid">
        <fgColor theme="3"/>
        <bgColor indexed="64"/>
      </patternFill>
    </fill>
    <fill>
      <patternFill patternType="solid">
        <fgColor theme="5" tint="-0.249977111117893"/>
        <bgColor indexed="64"/>
      </patternFill>
    </fill>
    <fill>
      <patternFill patternType="solid">
        <fgColor theme="6" tint="-0.499984740745262"/>
        <bgColor indexed="64"/>
      </patternFill>
    </fill>
    <fill>
      <patternFill patternType="solid">
        <fgColor theme="7" tint="-0.249977111117893"/>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5" tint="-0.499984740745262"/>
        <bgColor indexed="64"/>
      </patternFill>
    </fill>
    <fill>
      <patternFill patternType="solid">
        <fgColor rgb="FF7A6F04"/>
        <bgColor indexed="64"/>
      </patternFill>
    </fill>
    <fill>
      <patternFill patternType="solid">
        <fgColor rgb="FF7A6F04"/>
        <bgColor rgb="FF7A6F04"/>
      </patternFill>
    </fill>
    <fill>
      <patternFill patternType="solid">
        <fgColor theme="4" tint="0.39997558519241921"/>
        <bgColor indexed="64"/>
      </patternFill>
    </fill>
  </fills>
  <borders count="43">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right/>
      <top style="thin">
        <color theme="4" tint="-0.24994659260841701"/>
      </top>
      <bottom/>
      <diagonal/>
    </border>
    <border>
      <left/>
      <right style="thin">
        <color theme="4" tint="-0.24994659260841701"/>
      </right>
      <top/>
      <bottom/>
      <diagonal/>
    </border>
    <border>
      <left/>
      <right style="thin">
        <color theme="4" tint="-0.24994659260841701"/>
      </right>
      <top style="thin">
        <color theme="4" tint="-0.24994659260841701"/>
      </top>
      <bottom/>
      <diagonal/>
    </border>
    <border>
      <left style="thin">
        <color theme="4" tint="-0.24994659260841701"/>
      </left>
      <right/>
      <top style="thin">
        <color theme="4" tint="-0.24994659260841701"/>
      </top>
      <bottom/>
      <diagonal/>
    </border>
    <border>
      <left/>
      <right/>
      <top/>
      <bottom style="thin">
        <color theme="4" tint="-0.24994659260841701"/>
      </bottom>
      <diagonal/>
    </border>
    <border>
      <left/>
      <right style="thin">
        <color theme="5" tint="-0.24994659260841701"/>
      </right>
      <top style="thin">
        <color theme="5" tint="-0.24994659260841701"/>
      </top>
      <bottom/>
      <diagonal/>
    </border>
    <border>
      <left/>
      <right style="thin">
        <color theme="5" tint="-0.24994659260841701"/>
      </right>
      <top/>
      <bottom/>
      <diagonal/>
    </border>
    <border>
      <left style="thin">
        <color theme="5" tint="-0.24994659260841701"/>
      </left>
      <right/>
      <top style="thin">
        <color theme="5" tint="-0.24994659260841701"/>
      </top>
      <bottom/>
      <diagonal/>
    </border>
    <border>
      <left/>
      <right/>
      <top style="thin">
        <color theme="5" tint="-0.24994659260841701"/>
      </top>
      <bottom/>
      <diagonal/>
    </border>
    <border>
      <left/>
      <right/>
      <top style="thin">
        <color theme="6" tint="-0.24994659260841701"/>
      </top>
      <bottom/>
      <diagonal/>
    </border>
    <border>
      <left/>
      <right/>
      <top style="thin">
        <color theme="7" tint="-0.24994659260841701"/>
      </top>
      <bottom/>
      <diagonal/>
    </border>
    <border>
      <left style="thin">
        <color theme="4" tint="-0.24994659260841701"/>
      </left>
      <right/>
      <top/>
      <bottom/>
      <diagonal/>
    </border>
    <border>
      <left style="thin">
        <color theme="5" tint="-0.24994659260841701"/>
      </left>
      <right/>
      <top/>
      <bottom/>
      <diagonal/>
    </border>
    <border>
      <left style="thin">
        <color theme="0"/>
      </left>
      <right style="thin">
        <color theme="5" tint="-0.24994659260841701"/>
      </right>
      <top style="thin">
        <color theme="5" tint="-0.24994659260841701"/>
      </top>
      <bottom/>
      <diagonal/>
    </border>
    <border>
      <left style="thin">
        <color theme="0"/>
      </left>
      <right style="thin">
        <color theme="5" tint="-0.24994659260841701"/>
      </right>
      <top/>
      <bottom/>
      <diagonal/>
    </border>
    <border>
      <left style="thin">
        <color theme="0"/>
      </left>
      <right/>
      <top/>
      <bottom/>
      <diagonal/>
    </border>
    <border>
      <left style="thin">
        <color theme="6" tint="-0.24994659260841701"/>
      </left>
      <right/>
      <top/>
      <bottom/>
      <diagonal/>
    </border>
    <border>
      <left style="thin">
        <color theme="0"/>
      </left>
      <right style="thin">
        <color theme="6" tint="-0.24994659260841701"/>
      </right>
      <top style="thin">
        <color theme="6" tint="-0.24994659260841701"/>
      </top>
      <bottom/>
      <diagonal/>
    </border>
    <border>
      <left style="thin">
        <color theme="0"/>
      </left>
      <right style="thin">
        <color theme="6" tint="-0.24994659260841701"/>
      </right>
      <top/>
      <bottom/>
      <diagonal/>
    </border>
    <border>
      <left style="thin">
        <color theme="7" tint="-0.24994659260841701"/>
      </left>
      <right/>
      <top/>
      <bottom/>
      <diagonal/>
    </border>
    <border>
      <left style="thin">
        <color theme="0"/>
      </left>
      <right style="thin">
        <color theme="7" tint="-0.24994659260841701"/>
      </right>
      <top style="thin">
        <color theme="7" tint="-0.24994659260841701"/>
      </top>
      <bottom/>
      <diagonal/>
    </border>
    <border>
      <left style="thin">
        <color theme="0"/>
      </left>
      <right style="thin">
        <color theme="7" tint="-0.24994659260841701"/>
      </right>
      <top/>
      <bottom/>
      <diagonal/>
    </border>
    <border>
      <left style="thin">
        <color theme="0"/>
      </left>
      <right style="thin">
        <color theme="4" tint="-0.24994659260841701"/>
      </right>
      <top style="thin">
        <color theme="4" tint="-0.24994659260841701"/>
      </top>
      <bottom/>
      <diagonal/>
    </border>
    <border>
      <left style="thin">
        <color theme="0"/>
      </left>
      <right style="thin">
        <color theme="4" tint="-0.24994659260841701"/>
      </right>
      <top/>
      <bottom/>
      <diagonal/>
    </border>
    <border>
      <left/>
      <right/>
      <top/>
      <bottom style="thick">
        <color theme="4" tint="0.499984740745262"/>
      </bottom>
      <diagonal/>
    </border>
    <border>
      <left/>
      <right/>
      <top/>
      <bottom style="thick">
        <color theme="4"/>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style="thin">
        <color theme="0"/>
      </right>
      <top/>
      <bottom/>
      <diagonal/>
    </border>
    <border>
      <left style="thin">
        <color theme="0"/>
      </left>
      <right style="thin">
        <color theme="0"/>
      </right>
      <top/>
      <bottom/>
      <diagonal/>
    </border>
    <border>
      <left style="thin">
        <color theme="0"/>
      </left>
      <right style="thin">
        <color theme="0"/>
      </right>
      <top style="thin">
        <color theme="5" tint="-0.24994659260841701"/>
      </top>
      <bottom/>
      <diagonal/>
    </border>
    <border>
      <left style="thin">
        <color theme="0"/>
      </left>
      <right style="thin">
        <color theme="0"/>
      </right>
      <top style="thin">
        <color theme="6" tint="-0.24994659260841701"/>
      </top>
      <bottom/>
      <diagonal/>
    </border>
    <border>
      <left style="thin">
        <color theme="0"/>
      </left>
      <right style="thin">
        <color theme="0"/>
      </right>
      <top style="thin">
        <color theme="7" tint="-0.24994659260841701"/>
      </top>
      <bottom/>
      <diagonal/>
    </border>
    <border>
      <left/>
      <right style="thin">
        <color theme="0"/>
      </right>
      <top style="thin">
        <color theme="6" tint="-0.24994659260841701"/>
      </top>
      <bottom/>
      <diagonal/>
    </border>
    <border>
      <left/>
      <right style="thin">
        <color theme="0"/>
      </right>
      <top style="thin">
        <color theme="7" tint="-0.24994659260841701"/>
      </top>
      <bottom/>
      <diagonal/>
    </border>
    <border>
      <left/>
      <right style="thin">
        <color theme="0"/>
      </right>
      <top style="thin">
        <color theme="4" tint="-0.24994659260841701"/>
      </top>
      <bottom/>
      <diagonal/>
    </border>
  </borders>
  <cellStyleXfs count="51">
    <xf numFmtId="0" fontId="0" fillId="0" borderId="0"/>
    <xf numFmtId="0" fontId="3" fillId="0" borderId="0"/>
    <xf numFmtId="0" fontId="2" fillId="2" borderId="1" applyNumberFormat="0" applyAlignment="0" applyProtection="0"/>
    <xf numFmtId="0" fontId="4" fillId="3" borderId="0" applyNumberFormat="0" applyBorder="0" applyAlignment="0" applyProtection="0"/>
    <xf numFmtId="0" fontId="5" fillId="0" borderId="0" applyNumberFormat="0" applyFill="0" applyAlignment="0" applyProtection="0"/>
    <xf numFmtId="0" fontId="25" fillId="0" borderId="26" applyNumberFormat="0" applyFill="0" applyAlignment="0" applyProtection="0"/>
    <xf numFmtId="165" fontId="30" fillId="0" borderId="0" applyFont="0" applyFill="0" applyBorder="0" applyAlignment="0" applyProtection="0"/>
    <xf numFmtId="164" fontId="30" fillId="0" borderId="0" applyFont="0" applyFill="0" applyBorder="0" applyAlignment="0" applyProtection="0"/>
    <xf numFmtId="44" fontId="30" fillId="0" borderId="0" applyFont="0" applyFill="0" applyBorder="0" applyAlignment="0" applyProtection="0"/>
    <xf numFmtId="42" fontId="30" fillId="0" borderId="0" applyFont="0" applyFill="0" applyBorder="0" applyAlignment="0" applyProtection="0"/>
    <xf numFmtId="9" fontId="30" fillId="0" borderId="0" applyFont="0" applyFill="0" applyBorder="0" applyAlignment="0" applyProtection="0"/>
    <xf numFmtId="0" fontId="31" fillId="0" borderId="0" applyNumberFormat="0" applyFill="0" applyBorder="0" applyAlignment="0" applyProtection="0"/>
    <xf numFmtId="0" fontId="32" fillId="0" borderId="27" applyNumberFormat="0" applyFill="0" applyAlignment="0" applyProtection="0"/>
    <xf numFmtId="0" fontId="33" fillId="0" borderId="28" applyNumberFormat="0" applyFill="0" applyAlignment="0" applyProtection="0"/>
    <xf numFmtId="0" fontId="33" fillId="0" borderId="0" applyNumberFormat="0" applyFill="0" applyBorder="0" applyAlignment="0" applyProtection="0"/>
    <xf numFmtId="0" fontId="34" fillId="9" borderId="0" applyNumberFormat="0" applyBorder="0" applyAlignment="0" applyProtection="0"/>
    <xf numFmtId="0" fontId="35" fillId="10" borderId="0" applyNumberFormat="0" applyBorder="0" applyAlignment="0" applyProtection="0"/>
    <xf numFmtId="0" fontId="36" fillId="11" borderId="0" applyNumberFormat="0" applyBorder="0" applyAlignment="0" applyProtection="0"/>
    <xf numFmtId="0" fontId="37" fillId="12" borderId="29" applyNumberFormat="0" applyAlignment="0" applyProtection="0"/>
    <xf numFmtId="0" fontId="38" fillId="13" borderId="30" applyNumberFormat="0" applyAlignment="0" applyProtection="0"/>
    <xf numFmtId="0" fontId="39" fillId="13" borderId="29" applyNumberFormat="0" applyAlignment="0" applyProtection="0"/>
    <xf numFmtId="0" fontId="40" fillId="0" borderId="31" applyNumberFormat="0" applyFill="0" applyAlignment="0" applyProtection="0"/>
    <xf numFmtId="0" fontId="2" fillId="14" borderId="32" applyNumberFormat="0" applyAlignment="0" applyProtection="0"/>
    <xf numFmtId="0" fontId="41" fillId="0" borderId="0" applyNumberFormat="0" applyFill="0" applyBorder="0" applyAlignment="0" applyProtection="0"/>
    <xf numFmtId="0" fontId="30" fillId="15" borderId="33" applyNumberFormat="0" applyFont="0" applyAlignment="0" applyProtection="0"/>
    <xf numFmtId="0" fontId="42" fillId="0" borderId="0" applyNumberFormat="0" applyFill="0" applyBorder="0" applyAlignment="0" applyProtection="0"/>
    <xf numFmtId="0" fontId="43" fillId="0" borderId="34" applyNumberFormat="0" applyFill="0" applyAlignment="0" applyProtection="0"/>
    <xf numFmtId="0" fontId="44" fillId="2" borderId="0" applyNumberFormat="0" applyBorder="0" applyAlignment="0" applyProtection="0"/>
    <xf numFmtId="0" fontId="1" fillId="16" borderId="0" applyNumberFormat="0" applyBorder="0" applyAlignment="0" applyProtection="0"/>
    <xf numFmtId="0" fontId="1" fillId="3" borderId="0" applyNumberFormat="0" applyBorder="0" applyAlignment="0" applyProtection="0"/>
    <xf numFmtId="0" fontId="1" fillId="17" borderId="0" applyNumberFormat="0" applyBorder="0" applyAlignment="0" applyProtection="0"/>
    <xf numFmtId="0" fontId="44"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44"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44"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44"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44"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123">
    <xf numFmtId="0" fontId="0" fillId="0" borderId="0" xfId="0"/>
    <xf numFmtId="0" fontId="7" fillId="0" borderId="0" xfId="1" applyFont="1"/>
    <xf numFmtId="0" fontId="10" fillId="0" borderId="0" xfId="0" applyFont="1"/>
    <xf numFmtId="0" fontId="10" fillId="0" borderId="0" xfId="0" applyFont="1" applyAlignment="1">
      <alignment horizontal="center"/>
    </xf>
    <xf numFmtId="0" fontId="7" fillId="0" borderId="0" xfId="1" applyFont="1" applyAlignment="1">
      <alignment horizontal="center"/>
    </xf>
    <xf numFmtId="0" fontId="11" fillId="0" borderId="0" xfId="1" applyFont="1" applyAlignment="1">
      <alignment horizontal="center"/>
    </xf>
    <xf numFmtId="0" fontId="8" fillId="0" borderId="0" xfId="1" applyFont="1"/>
    <xf numFmtId="0" fontId="17" fillId="0" borderId="0" xfId="3" applyFont="1" applyFill="1" applyBorder="1" applyAlignment="1">
      <alignment horizontal="center" vertical="top" wrapText="1"/>
    </xf>
    <xf numFmtId="0" fontId="14" fillId="0" borderId="0" xfId="1" applyFont="1" applyAlignment="1">
      <alignment vertical="top"/>
    </xf>
    <xf numFmtId="0" fontId="12" fillId="0" borderId="0" xfId="1" applyFont="1" applyAlignment="1">
      <alignment vertical="top"/>
    </xf>
    <xf numFmtId="0" fontId="17" fillId="0" borderId="0" xfId="1" applyFont="1" applyAlignment="1">
      <alignment horizontal="center" vertical="top" wrapText="1"/>
    </xf>
    <xf numFmtId="0" fontId="13" fillId="0" borderId="0" xfId="2" applyFont="1" applyFill="1" applyBorder="1" applyAlignment="1">
      <alignment horizontal="center"/>
    </xf>
    <xf numFmtId="0" fontId="15" fillId="0" borderId="0" xfId="2" applyFont="1" applyFill="1" applyBorder="1" applyAlignment="1">
      <alignment horizontal="center"/>
    </xf>
    <xf numFmtId="0" fontId="22" fillId="0" borderId="6" xfId="2" applyFont="1" applyFill="1" applyBorder="1" applyAlignment="1">
      <alignment horizontal="center"/>
    </xf>
    <xf numFmtId="0" fontId="22" fillId="0" borderId="0" xfId="2" applyFont="1" applyFill="1" applyBorder="1" applyAlignment="1">
      <alignment horizontal="center"/>
    </xf>
    <xf numFmtId="0" fontId="21" fillId="0" borderId="0" xfId="1" applyFont="1" applyAlignment="1">
      <alignment vertical="top"/>
    </xf>
    <xf numFmtId="0" fontId="24" fillId="0" borderId="0" xfId="2" applyFont="1" applyFill="1" applyBorder="1" applyAlignment="1">
      <alignment horizontal="center"/>
    </xf>
    <xf numFmtId="0" fontId="17" fillId="0" borderId="17" xfId="1" applyFont="1" applyBorder="1" applyAlignment="1">
      <alignment horizontal="center" vertical="top" wrapText="1"/>
    </xf>
    <xf numFmtId="0" fontId="17" fillId="0" borderId="17" xfId="3" applyFont="1" applyFill="1" applyBorder="1" applyAlignment="1">
      <alignment horizontal="center" vertical="top" wrapText="1"/>
    </xf>
    <xf numFmtId="0" fontId="29" fillId="0" borderId="0" xfId="1" applyFont="1" applyAlignment="1">
      <alignment wrapText="1"/>
    </xf>
    <xf numFmtId="0" fontId="29" fillId="0" borderId="0" xfId="0" applyFont="1" applyAlignment="1">
      <alignment wrapText="1"/>
    </xf>
    <xf numFmtId="0" fontId="17" fillId="0" borderId="5" xfId="1" applyFont="1" applyBorder="1" applyAlignment="1">
      <alignment horizontal="center" vertical="top" wrapText="1"/>
    </xf>
    <xf numFmtId="0" fontId="17" fillId="0" borderId="2" xfId="1" applyFont="1" applyBorder="1" applyAlignment="1">
      <alignment horizontal="center" vertical="top" wrapText="1"/>
    </xf>
    <xf numFmtId="0" fontId="18" fillId="0" borderId="9" xfId="1" applyFont="1" applyBorder="1" applyAlignment="1">
      <alignment horizontal="center" vertical="top" wrapText="1"/>
    </xf>
    <xf numFmtId="0" fontId="18" fillId="0" borderId="10" xfId="1" applyFont="1" applyBorder="1" applyAlignment="1">
      <alignment horizontal="center" vertical="top" wrapText="1"/>
    </xf>
    <xf numFmtId="0" fontId="19" fillId="0" borderId="11" xfId="1" applyFont="1" applyBorder="1" applyAlignment="1">
      <alignment horizontal="center" vertical="top" wrapText="1"/>
    </xf>
    <xf numFmtId="0" fontId="20" fillId="0" borderId="12" xfId="1" applyFont="1" applyBorder="1" applyAlignment="1">
      <alignment horizontal="center" vertical="top" wrapText="1"/>
    </xf>
    <xf numFmtId="166" fontId="16" fillId="4" borderId="4" xfId="1" applyNumberFormat="1" applyFont="1" applyFill="1" applyBorder="1" applyAlignment="1">
      <alignment horizontal="center" vertical="top" wrapText="1"/>
    </xf>
    <xf numFmtId="166" fontId="16" fillId="4" borderId="3" xfId="1" applyNumberFormat="1" applyFont="1" applyFill="1" applyBorder="1" applyAlignment="1">
      <alignment horizontal="center" vertical="top" wrapText="1"/>
    </xf>
    <xf numFmtId="166" fontId="16" fillId="6" borderId="7" xfId="1" applyNumberFormat="1" applyFont="1" applyFill="1" applyBorder="1" applyAlignment="1">
      <alignment horizontal="center" vertical="top" wrapText="1"/>
    </xf>
    <xf numFmtId="166" fontId="16" fillId="6" borderId="15" xfId="1" applyNumberFormat="1" applyFont="1" applyFill="1" applyBorder="1" applyAlignment="1">
      <alignment horizontal="center" vertical="top" wrapText="1"/>
    </xf>
    <xf numFmtId="166" fontId="16" fillId="7" borderId="19" xfId="1" applyNumberFormat="1" applyFont="1" applyFill="1" applyBorder="1" applyAlignment="1">
      <alignment horizontal="center" vertical="top" wrapText="1"/>
    </xf>
    <xf numFmtId="166" fontId="16" fillId="8" borderId="22" xfId="1" applyNumberFormat="1" applyFont="1" applyFill="1" applyBorder="1" applyAlignment="1">
      <alignment horizontal="center" vertical="top" wrapText="1"/>
    </xf>
    <xf numFmtId="166" fontId="16" fillId="4" borderId="24" xfId="1" applyNumberFormat="1" applyFont="1" applyFill="1" applyBorder="1" applyAlignment="1">
      <alignment horizontal="center" vertical="top" wrapText="1"/>
    </xf>
    <xf numFmtId="166" fontId="16" fillId="4" borderId="25" xfId="1" applyNumberFormat="1" applyFont="1" applyFill="1" applyBorder="1" applyAlignment="1">
      <alignment horizontal="center" vertical="top" wrapText="1"/>
    </xf>
    <xf numFmtId="0" fontId="22" fillId="0" borderId="0" xfId="2" applyNumberFormat="1" applyFont="1" applyFill="1" applyBorder="1" applyAlignment="1">
      <alignment horizontal="center"/>
    </xf>
    <xf numFmtId="0" fontId="7" fillId="0" borderId="0" xfId="1" applyFont="1" applyAlignment="1">
      <alignment vertical="center"/>
    </xf>
    <xf numFmtId="166" fontId="16" fillId="38" borderId="7" xfId="1" applyNumberFormat="1" applyFont="1" applyFill="1" applyBorder="1" applyAlignment="1">
      <alignment horizontal="center" vertical="top" wrapText="1"/>
    </xf>
    <xf numFmtId="166" fontId="16" fillId="38" borderId="15" xfId="1" applyNumberFormat="1" applyFont="1" applyFill="1" applyBorder="1" applyAlignment="1">
      <alignment horizontal="center" vertical="top" wrapText="1"/>
    </xf>
    <xf numFmtId="166" fontId="16" fillId="39" borderId="19" xfId="1" applyNumberFormat="1" applyFont="1" applyFill="1" applyBorder="1" applyAlignment="1">
      <alignment horizontal="center" vertical="top" wrapText="1"/>
    </xf>
    <xf numFmtId="0" fontId="45" fillId="0" borderId="11" xfId="1" applyFont="1" applyBorder="1" applyAlignment="1">
      <alignment horizontal="center" vertical="top" wrapText="1"/>
    </xf>
    <xf numFmtId="166" fontId="16" fillId="40" borderId="19" xfId="1" applyNumberFormat="1" applyFont="1" applyFill="1" applyBorder="1" applyAlignment="1">
      <alignment horizontal="center" vertical="top" wrapText="1"/>
    </xf>
    <xf numFmtId="0" fontId="18" fillId="0" borderId="37" xfId="1" applyFont="1" applyBorder="1" applyAlignment="1">
      <alignment horizontal="center" vertical="top" wrapText="1"/>
    </xf>
    <xf numFmtId="0" fontId="19" fillId="0" borderId="38" xfId="1" applyFont="1" applyBorder="1" applyAlignment="1">
      <alignment horizontal="center" vertical="top" wrapText="1"/>
    </xf>
    <xf numFmtId="0" fontId="20" fillId="0" borderId="39" xfId="1" applyFont="1" applyBorder="1" applyAlignment="1">
      <alignment horizontal="center" vertical="top" wrapText="1"/>
    </xf>
    <xf numFmtId="0" fontId="47" fillId="0" borderId="0" xfId="0" applyFont="1" applyAlignment="1">
      <alignment wrapText="1"/>
    </xf>
    <xf numFmtId="0" fontId="51" fillId="0" borderId="0" xfId="1" applyFont="1"/>
    <xf numFmtId="0" fontId="52" fillId="0" borderId="0" xfId="0" applyFont="1" applyAlignment="1">
      <alignment wrapText="1"/>
    </xf>
    <xf numFmtId="0" fontId="53" fillId="0" borderId="0" xfId="1" applyFont="1" applyAlignment="1">
      <alignment horizontal="left" vertical="top" wrapText="1"/>
    </xf>
    <xf numFmtId="0" fontId="53" fillId="0" borderId="3" xfId="1" applyFont="1" applyBorder="1" applyAlignment="1">
      <alignment horizontal="left" vertical="top" wrapText="1"/>
    </xf>
    <xf numFmtId="0" fontId="53" fillId="0" borderId="13" xfId="1" applyFont="1" applyBorder="1" applyAlignment="1">
      <alignment horizontal="left" vertical="top" wrapText="1"/>
    </xf>
    <xf numFmtId="0" fontId="53" fillId="0" borderId="13" xfId="3" applyFont="1" applyFill="1" applyBorder="1" applyAlignment="1">
      <alignment horizontal="left" vertical="top" wrapText="1"/>
    </xf>
    <xf numFmtId="0" fontId="53" fillId="0" borderId="3" xfId="3" applyFont="1" applyFill="1" applyBorder="1" applyAlignment="1">
      <alignment horizontal="left" vertical="top" wrapText="1"/>
    </xf>
    <xf numFmtId="0" fontId="54" fillId="0" borderId="0" xfId="1" applyFont="1"/>
    <xf numFmtId="0" fontId="53" fillId="0" borderId="0" xfId="3" applyFont="1" applyFill="1" applyBorder="1" applyAlignment="1">
      <alignment horizontal="left" vertical="top" wrapText="1"/>
    </xf>
    <xf numFmtId="0" fontId="55" fillId="0" borderId="0" xfId="1" applyFont="1" applyAlignment="1">
      <alignment horizontal="left" vertical="top" wrapText="1"/>
    </xf>
    <xf numFmtId="0" fontId="55" fillId="0" borderId="8" xfId="1" applyFont="1" applyBorder="1" applyAlignment="1">
      <alignment horizontal="left" vertical="top" wrapText="1"/>
    </xf>
    <xf numFmtId="0" fontId="55" fillId="0" borderId="14" xfId="1" applyFont="1" applyBorder="1" applyAlignment="1">
      <alignment horizontal="left" vertical="top" wrapText="1"/>
    </xf>
    <xf numFmtId="0" fontId="55" fillId="0" borderId="8" xfId="3" applyFont="1" applyFill="1" applyBorder="1" applyAlignment="1">
      <alignment horizontal="left" vertical="top" wrapText="1"/>
    </xf>
    <xf numFmtId="0" fontId="55" fillId="0" borderId="14" xfId="3" applyFont="1" applyFill="1" applyBorder="1" applyAlignment="1">
      <alignment horizontal="left" vertical="top" wrapText="1"/>
    </xf>
    <xf numFmtId="0" fontId="55" fillId="0" borderId="0" xfId="3" applyFont="1" applyFill="1" applyBorder="1" applyAlignment="1">
      <alignment horizontal="left" vertical="top" wrapText="1"/>
    </xf>
    <xf numFmtId="0" fontId="55" fillId="0" borderId="16" xfId="1" applyFont="1" applyBorder="1" applyAlignment="1">
      <alignment horizontal="left" vertical="top" wrapText="1"/>
    </xf>
    <xf numFmtId="0" fontId="55" fillId="0" borderId="16" xfId="3" applyFont="1" applyFill="1" applyBorder="1" applyAlignment="1">
      <alignment horizontal="left" vertical="top" wrapText="1"/>
    </xf>
    <xf numFmtId="0" fontId="55" fillId="0" borderId="35" xfId="3" applyFont="1" applyFill="1" applyBorder="1" applyAlignment="1">
      <alignment horizontal="left" vertical="top" wrapText="1"/>
    </xf>
    <xf numFmtId="0" fontId="55" fillId="0" borderId="36" xfId="3" applyFont="1" applyFill="1" applyBorder="1" applyAlignment="1">
      <alignment horizontal="left" vertical="top" wrapText="1"/>
    </xf>
    <xf numFmtId="0" fontId="55" fillId="0" borderId="36" xfId="1" applyFont="1" applyBorder="1" applyAlignment="1">
      <alignment horizontal="left" vertical="top" wrapText="1"/>
    </xf>
    <xf numFmtId="0" fontId="56" fillId="0" borderId="0" xfId="1" applyFont="1" applyAlignment="1">
      <alignment horizontal="left" vertical="top" wrapText="1"/>
    </xf>
    <xf numFmtId="0" fontId="56" fillId="0" borderId="20" xfId="1" applyFont="1" applyBorder="1" applyAlignment="1">
      <alignment horizontal="left" vertical="top" wrapText="1"/>
    </xf>
    <xf numFmtId="0" fontId="56" fillId="0" borderId="18" xfId="1" applyFont="1" applyBorder="1" applyAlignment="1">
      <alignment horizontal="left" vertical="top" wrapText="1"/>
    </xf>
    <xf numFmtId="0" fontId="56" fillId="0" borderId="20" xfId="3" applyFont="1" applyFill="1" applyBorder="1" applyAlignment="1">
      <alignment horizontal="left" vertical="top" wrapText="1"/>
    </xf>
    <xf numFmtId="0" fontId="56" fillId="0" borderId="18" xfId="3" applyFont="1" applyFill="1" applyBorder="1" applyAlignment="1">
      <alignment horizontal="left" vertical="top" wrapText="1"/>
    </xf>
    <xf numFmtId="0" fontId="52" fillId="0" borderId="20" xfId="3" applyFont="1" applyFill="1" applyBorder="1" applyAlignment="1">
      <alignment horizontal="left" vertical="top" wrapText="1"/>
    </xf>
    <xf numFmtId="0" fontId="56" fillId="0" borderId="36" xfId="3" applyFont="1" applyFill="1" applyBorder="1" applyAlignment="1">
      <alignment horizontal="left" vertical="top" wrapText="1"/>
    </xf>
    <xf numFmtId="0" fontId="56" fillId="0" borderId="36" xfId="1" applyFont="1" applyBorder="1" applyAlignment="1">
      <alignment horizontal="left" vertical="top" wrapText="1"/>
    </xf>
    <xf numFmtId="0" fontId="57" fillId="0" borderId="0" xfId="1" applyFont="1" applyAlignment="1">
      <alignment horizontal="left" vertical="top" wrapText="1"/>
    </xf>
    <xf numFmtId="0" fontId="57" fillId="0" borderId="23" xfId="1" applyFont="1" applyBorder="1" applyAlignment="1">
      <alignment horizontal="left" vertical="top" wrapText="1"/>
    </xf>
    <xf numFmtId="0" fontId="57" fillId="0" borderId="21" xfId="1" applyFont="1" applyBorder="1" applyAlignment="1">
      <alignment horizontal="left" vertical="top" wrapText="1"/>
    </xf>
    <xf numFmtId="0" fontId="57" fillId="0" borderId="23" xfId="3" applyFont="1" applyFill="1" applyBorder="1" applyAlignment="1">
      <alignment horizontal="left" vertical="top" wrapText="1"/>
    </xf>
    <xf numFmtId="0" fontId="57" fillId="0" borderId="21" xfId="3" applyFont="1" applyFill="1" applyBorder="1" applyAlignment="1">
      <alignment horizontal="left" vertical="top" wrapText="1"/>
    </xf>
    <xf numFmtId="0" fontId="57" fillId="0" borderId="36" xfId="3" applyFont="1" applyFill="1" applyBorder="1" applyAlignment="1">
      <alignment horizontal="left" vertical="top" wrapText="1"/>
    </xf>
    <xf numFmtId="0" fontId="53" fillId="0" borderId="25" xfId="1" applyFont="1" applyBorder="1" applyAlignment="1">
      <alignment horizontal="left" vertical="top" wrapText="1"/>
    </xf>
    <xf numFmtId="0" fontId="53" fillId="0" borderId="25" xfId="3" applyFont="1" applyFill="1" applyBorder="1" applyAlignment="1">
      <alignment horizontal="left" vertical="top" wrapText="1"/>
    </xf>
    <xf numFmtId="166" fontId="59" fillId="5" borderId="4" xfId="1" applyNumberFormat="1" applyFont="1" applyFill="1" applyBorder="1" applyAlignment="1">
      <alignment horizontal="center" vertical="top" wrapText="1"/>
    </xf>
    <xf numFmtId="166" fontId="58" fillId="41" borderId="4" xfId="1" applyNumberFormat="1" applyFont="1" applyFill="1" applyBorder="1" applyAlignment="1">
      <alignment horizontal="center" vertical="top" wrapText="1"/>
    </xf>
    <xf numFmtId="0" fontId="19" fillId="0" borderId="40" xfId="1" applyFont="1" applyBorder="1" applyAlignment="1">
      <alignment horizontal="center" vertical="top" wrapText="1"/>
    </xf>
    <xf numFmtId="0" fontId="56" fillId="0" borderId="35" xfId="1" applyFont="1" applyBorder="1" applyAlignment="1">
      <alignment horizontal="left" vertical="top" wrapText="1"/>
    </xf>
    <xf numFmtId="0" fontId="57" fillId="0" borderId="36" xfId="1" applyFont="1" applyBorder="1" applyAlignment="1">
      <alignment horizontal="left" vertical="top" wrapText="1"/>
    </xf>
    <xf numFmtId="0" fontId="20" fillId="0" borderId="41" xfId="1" applyFont="1" applyBorder="1" applyAlignment="1">
      <alignment horizontal="center" vertical="top" wrapText="1"/>
    </xf>
    <xf numFmtId="0" fontId="57" fillId="0" borderId="35" xfId="1" applyFont="1" applyBorder="1" applyAlignment="1">
      <alignment horizontal="left" vertical="top" wrapText="1"/>
    </xf>
    <xf numFmtId="0" fontId="17" fillId="0" borderId="42" xfId="1" applyFont="1" applyBorder="1" applyAlignment="1">
      <alignment horizontal="center" vertical="top" wrapText="1"/>
    </xf>
    <xf numFmtId="0" fontId="53" fillId="0" borderId="35" xfId="1" applyFont="1" applyBorder="1" applyAlignment="1">
      <alignment horizontal="left" vertical="top" wrapText="1"/>
    </xf>
    <xf numFmtId="0" fontId="6" fillId="0" borderId="0" xfId="1" applyFont="1" applyAlignment="1">
      <alignment horizontal="center" vertical="center"/>
    </xf>
    <xf numFmtId="168" fontId="26" fillId="0" borderId="0" xfId="1" applyNumberFormat="1" applyFont="1" applyAlignment="1">
      <alignment horizontal="center" vertical="center"/>
    </xf>
    <xf numFmtId="168" fontId="9" fillId="0" borderId="0" xfId="1" applyNumberFormat="1" applyFont="1" applyAlignment="1">
      <alignment horizontal="center" vertical="center"/>
    </xf>
    <xf numFmtId="0" fontId="21" fillId="0" borderId="0" xfId="1" applyFont="1" applyAlignment="1">
      <alignment horizontal="center" vertical="top"/>
    </xf>
    <xf numFmtId="167" fontId="23" fillId="0" borderId="0" xfId="1" applyNumberFormat="1" applyFont="1" applyAlignment="1">
      <alignment vertical="top"/>
    </xf>
    <xf numFmtId="0" fontId="47" fillId="0" borderId="0" xfId="1" applyFont="1" applyAlignment="1">
      <alignment horizontal="center" wrapText="1"/>
    </xf>
    <xf numFmtId="167" fontId="48" fillId="0" borderId="0" xfId="1" applyNumberFormat="1" applyFont="1" applyAlignment="1">
      <alignment horizontal="left"/>
    </xf>
    <xf numFmtId="167" fontId="21" fillId="0" borderId="0" xfId="1" applyNumberFormat="1" applyFont="1" applyAlignment="1">
      <alignment horizontal="left" vertical="top"/>
    </xf>
    <xf numFmtId="167" fontId="12" fillId="0" borderId="0" xfId="1" applyNumberFormat="1" applyFont="1" applyAlignment="1">
      <alignment horizontal="left" vertical="top"/>
    </xf>
    <xf numFmtId="0" fontId="50" fillId="0" borderId="0" xfId="1" applyFont="1" applyAlignment="1">
      <alignment horizontal="center"/>
    </xf>
    <xf numFmtId="168" fontId="47" fillId="0" borderId="0" xfId="1" applyNumberFormat="1" applyFont="1" applyAlignment="1">
      <alignment horizontal="center"/>
    </xf>
    <xf numFmtId="168" fontId="49" fillId="0" borderId="0" xfId="1" applyNumberFormat="1" applyFont="1" applyAlignment="1">
      <alignment horizontal="center"/>
    </xf>
    <xf numFmtId="0" fontId="12" fillId="0" borderId="0" xfId="1" applyFont="1" applyAlignment="1">
      <alignment horizontal="center" vertical="top"/>
    </xf>
    <xf numFmtId="167" fontId="14" fillId="0" borderId="0" xfId="1" applyNumberFormat="1" applyFont="1" applyAlignment="1">
      <alignment horizontal="left" vertical="top"/>
    </xf>
    <xf numFmtId="0" fontId="26" fillId="0" borderId="0" xfId="1" applyFont="1" applyAlignment="1">
      <alignment horizontal="center" wrapText="1"/>
    </xf>
    <xf numFmtId="0" fontId="26" fillId="0" borderId="0" xfId="1" applyFont="1" applyAlignment="1">
      <alignment horizontal="center"/>
    </xf>
    <xf numFmtId="0" fontId="26" fillId="0" borderId="0" xfId="1" applyFont="1" applyAlignment="1">
      <alignment horizontal="center" vertical="center" wrapText="1"/>
    </xf>
    <xf numFmtId="0" fontId="26" fillId="0" borderId="0" xfId="1" applyFont="1" applyAlignment="1">
      <alignment horizontal="center" vertical="center"/>
    </xf>
    <xf numFmtId="0" fontId="23" fillId="0" borderId="0" xfId="1" applyFont="1" applyAlignment="1">
      <alignment horizontal="right" vertical="top"/>
    </xf>
    <xf numFmtId="0" fontId="23" fillId="0" borderId="0" xfId="1" applyFont="1" applyAlignment="1">
      <alignment horizontal="center" vertical="top"/>
    </xf>
    <xf numFmtId="0" fontId="14" fillId="0" borderId="0" xfId="1" applyFont="1" applyAlignment="1">
      <alignment horizontal="center" vertical="top"/>
    </xf>
    <xf numFmtId="168" fontId="26" fillId="0" borderId="0" xfId="1" applyNumberFormat="1" applyFont="1" applyAlignment="1">
      <alignment horizontal="center" vertical="top"/>
    </xf>
    <xf numFmtId="168" fontId="9" fillId="0" borderId="0" xfId="1" applyNumberFormat="1" applyFont="1" applyAlignment="1">
      <alignment horizontal="center" vertical="top"/>
    </xf>
    <xf numFmtId="167" fontId="14" fillId="0" borderId="0" xfId="1" applyNumberFormat="1" applyFont="1" applyAlignment="1">
      <alignment vertical="top"/>
    </xf>
    <xf numFmtId="0" fontId="27" fillId="0" borderId="0" xfId="1" applyFont="1" applyAlignment="1">
      <alignment horizontal="center" vertical="top" wrapText="1"/>
    </xf>
    <xf numFmtId="0" fontId="28" fillId="0" borderId="0" xfId="1" applyFont="1" applyAlignment="1">
      <alignment horizontal="center" vertical="center" wrapText="1"/>
    </xf>
    <xf numFmtId="0" fontId="28" fillId="0" borderId="0" xfId="1" applyFont="1" applyAlignment="1">
      <alignment horizontal="center" vertical="center"/>
    </xf>
    <xf numFmtId="0" fontId="21" fillId="0" borderId="0" xfId="1" applyFont="1" applyAlignment="1">
      <alignment horizontal="left" vertical="top"/>
    </xf>
    <xf numFmtId="0" fontId="56" fillId="0" borderId="0" xfId="1" applyFont="1" applyBorder="1" applyAlignment="1">
      <alignment horizontal="left" vertical="top" wrapText="1"/>
    </xf>
    <xf numFmtId="0" fontId="56" fillId="0" borderId="0" xfId="3" applyFont="1" applyFill="1" applyBorder="1" applyAlignment="1">
      <alignment horizontal="left" vertical="top" wrapText="1"/>
    </xf>
    <xf numFmtId="0" fontId="57" fillId="0" borderId="0" xfId="1" applyFont="1" applyBorder="1" applyAlignment="1">
      <alignment horizontal="left" vertical="top" wrapText="1"/>
    </xf>
    <xf numFmtId="0" fontId="57" fillId="0" borderId="0" xfId="3" applyFont="1" applyFill="1" applyBorder="1" applyAlignment="1">
      <alignment horizontal="left" vertical="top" wrapText="1"/>
    </xf>
  </cellXfs>
  <cellStyles count="51">
    <cellStyle name="20% - Colore 1" xfId="28" builtinId="30" customBuiltin="1"/>
    <cellStyle name="20% - Colore 2" xfId="32" builtinId="34" customBuiltin="1"/>
    <cellStyle name="20% - Colore 3" xfId="36" builtinId="38" customBuiltin="1"/>
    <cellStyle name="20% - Colore 4" xfId="40" builtinId="42" customBuiltin="1"/>
    <cellStyle name="20% - Colore 5" xfId="44" builtinId="46" customBuiltin="1"/>
    <cellStyle name="20% - Colore 6" xfId="48" builtinId="50" customBuiltin="1"/>
    <cellStyle name="40% - Colore 1" xfId="29" builtinId="31" customBuiltin="1"/>
    <cellStyle name="40% - Colore 2" xfId="33" builtinId="35" customBuiltin="1"/>
    <cellStyle name="40% - Colore 3" xfId="37" builtinId="39" customBuiltin="1"/>
    <cellStyle name="40% - Colore 4" xfId="41" builtinId="43" customBuiltin="1"/>
    <cellStyle name="40% - Colore 5" xfId="45" builtinId="47" customBuiltin="1"/>
    <cellStyle name="40% - Colore 6" xfId="49" builtinId="51" customBuiltin="1"/>
    <cellStyle name="40% - Colore1 2" xfId="3" xr:uid="{00000000-0005-0000-0000-000000000000}"/>
    <cellStyle name="60% - Colore 1" xfId="30" builtinId="32" customBuiltin="1"/>
    <cellStyle name="60% - Colore 2" xfId="34" builtinId="36" customBuiltin="1"/>
    <cellStyle name="60% - Colore 3" xfId="38" builtinId="40" customBuiltin="1"/>
    <cellStyle name="60% - Colore 4" xfId="42" builtinId="44" customBuiltin="1"/>
    <cellStyle name="60% - Colore 5" xfId="46" builtinId="48" customBuiltin="1"/>
    <cellStyle name="60% - Colore 6" xfId="50" builtinId="52" customBuiltin="1"/>
    <cellStyle name="Calcolo" xfId="20" builtinId="22" customBuiltin="1"/>
    <cellStyle name="Cella collegata" xfId="21" builtinId="24" customBuiltin="1"/>
    <cellStyle name="Cella da controllare" xfId="22" builtinId="23" customBuiltin="1"/>
    <cellStyle name="Colore 1" xfId="27" builtinId="29" customBuiltin="1"/>
    <cellStyle name="Colore 2" xfId="31" builtinId="33" customBuiltin="1"/>
    <cellStyle name="Colore 3" xfId="35" builtinId="37" customBuiltin="1"/>
    <cellStyle name="Colore 4" xfId="39" builtinId="41" customBuiltin="1"/>
    <cellStyle name="Colore 5" xfId="43" builtinId="45" customBuiltin="1"/>
    <cellStyle name="Colore 6" xfId="47" builtinId="49" customBuiltin="1"/>
    <cellStyle name="Colore1 2" xfId="2" xr:uid="{00000000-0005-0000-0000-000001000000}"/>
    <cellStyle name="Input" xfId="18" builtinId="20" customBuiltin="1"/>
    <cellStyle name="Migliaia" xfId="6" builtinId="3" customBuiltin="1"/>
    <cellStyle name="Migliaia [0]" xfId="7" builtinId="6" customBuiltin="1"/>
    <cellStyle name="Neutrale" xfId="17" builtinId="28" customBuiltin="1"/>
    <cellStyle name="Normale" xfId="0" builtinId="0" customBuiltin="1"/>
    <cellStyle name="Normale 2" xfId="1" xr:uid="{00000000-0005-0000-0000-000004000000}"/>
    <cellStyle name="Nota" xfId="24" builtinId="10" customBuiltin="1"/>
    <cellStyle name="Output" xfId="19" builtinId="21" customBuiltin="1"/>
    <cellStyle name="Percentuale" xfId="10" builtinId="5" customBuiltin="1"/>
    <cellStyle name="Testo avviso" xfId="23" builtinId="11" customBuiltin="1"/>
    <cellStyle name="Testo descrittivo" xfId="25" builtinId="53" customBuiltin="1"/>
    <cellStyle name="Titolo" xfId="11" builtinId="15" customBuiltin="1"/>
    <cellStyle name="Titolo 1" xfId="12" builtinId="16" customBuiltin="1"/>
    <cellStyle name="Titolo 1 2" xfId="4" xr:uid="{00000000-0005-0000-0000-000002000000}"/>
    <cellStyle name="Titolo 2" xfId="5" builtinId="17" customBuiltin="1"/>
    <cellStyle name="Titolo 3" xfId="13" builtinId="18" customBuiltin="1"/>
    <cellStyle name="Titolo 4" xfId="14" builtinId="19" customBuiltin="1"/>
    <cellStyle name="Totale" xfId="26" builtinId="25" customBuiltin="1"/>
    <cellStyle name="Valore non valido" xfId="16" builtinId="27" customBuiltin="1"/>
    <cellStyle name="Valore valido" xfId="15" builtinId="26" customBuiltin="1"/>
    <cellStyle name="Valuta" xfId="8" builtinId="4" customBuiltin="1"/>
    <cellStyle name="Valuta [0]" xfId="9" builtinId="7" customBuiltin="1"/>
  </cellStyles>
  <dxfs count="47">
    <dxf>
      <font>
        <color theme="0"/>
      </font>
      <fill>
        <patternFill>
          <bgColor theme="0" tint="-0.14996795556505021"/>
        </patternFill>
      </fill>
    </dxf>
    <dxf>
      <font>
        <b/>
        <i val="0"/>
        <color theme="3" tint="-0.499984740745262"/>
      </font>
      <fill>
        <patternFill>
          <bgColor theme="4"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7"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7"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7"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6"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6"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6"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0"/>
      </font>
      <fill>
        <patternFill>
          <bgColor theme="5" tint="-0.24994659260841701"/>
        </patternFill>
      </fill>
    </dxf>
    <dxf>
      <font>
        <color theme="0"/>
      </font>
      <fill>
        <patternFill>
          <bgColor theme="0" tint="-0.14996795556505021"/>
        </patternFill>
      </fill>
    </dxf>
    <dxf>
      <font>
        <color theme="0"/>
      </font>
      <fill>
        <patternFill>
          <bgColor theme="0" tint="-0.14996795556505021"/>
        </patternFill>
      </fill>
    </dxf>
    <dxf>
      <font>
        <b/>
        <i val="0"/>
        <color theme="0"/>
      </font>
      <fill>
        <patternFill>
          <bgColor theme="5" tint="-0.24994659260841701"/>
        </patternFill>
      </fill>
    </dxf>
    <dxf>
      <font>
        <color theme="0"/>
      </font>
      <fill>
        <patternFill>
          <bgColor theme="0" tint="-0.14996795556505021"/>
        </patternFill>
      </fill>
    </dxf>
    <dxf>
      <font>
        <color theme="0"/>
      </font>
      <fill>
        <patternFill>
          <bgColor theme="0" tint="-0.14996795556505021"/>
        </patternFill>
      </fill>
    </dxf>
    <dxf>
      <font>
        <b/>
        <i val="0"/>
        <color theme="0"/>
      </font>
      <fill>
        <patternFill>
          <bgColor theme="5" tint="-0.24994659260841701"/>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4" tint="0.39994506668294322"/>
        </patternFill>
      </fill>
    </dxf>
    <dxf>
      <font>
        <color theme="0"/>
      </font>
      <fill>
        <patternFill>
          <bgColor theme="0" tint="-0.14996795556505021"/>
        </patternFill>
      </fill>
    </dxf>
    <dxf>
      <font>
        <color theme="0"/>
      </font>
      <fill>
        <patternFill>
          <bgColor theme="0" tint="-0.14996795556505021"/>
        </patternFill>
      </fill>
    </dxf>
    <dxf>
      <font>
        <b/>
        <i val="0"/>
        <color theme="3" tint="-0.499984740745262"/>
      </font>
      <fill>
        <patternFill>
          <bgColor theme="4" tint="0.39994506668294322"/>
        </patternFill>
      </fill>
    </dxf>
    <dxf>
      <font>
        <color theme="0"/>
      </font>
      <fill>
        <patternFill>
          <bgColor theme="0" tint="-0.14996795556505021"/>
        </patternFill>
      </fill>
    </dxf>
    <dxf>
      <font>
        <b/>
        <color theme="1"/>
      </font>
      <border diagonalUp="0" diagonalDown="0">
        <left/>
        <right/>
        <top/>
        <bottom/>
        <vertical/>
        <horizontal/>
      </border>
    </dxf>
    <dxf>
      <font>
        <b/>
        <color theme="1"/>
      </font>
      <border>
        <top style="double">
          <color theme="6" tint="-0.24994659260841701"/>
        </top>
      </border>
    </dxf>
    <dxf>
      <font>
        <color theme="0"/>
      </font>
      <fill>
        <patternFill patternType="solid">
          <fgColor theme="4"/>
          <bgColor theme="7"/>
        </patternFill>
      </fill>
      <border diagonalUp="0" diagonalDown="0">
        <left/>
        <right/>
        <top/>
        <bottom/>
        <vertical/>
        <horizontal/>
      </border>
    </dxf>
    <dxf>
      <font>
        <color theme="1"/>
      </font>
      <fill>
        <patternFill>
          <bgColor theme="0"/>
        </patternFill>
      </fill>
      <border>
        <left style="thin">
          <color theme="9" tint="0.59996337778862885"/>
        </left>
        <right style="thin">
          <color theme="9" tint="0.59996337778862885"/>
        </right>
        <top style="thin">
          <color theme="9" tint="0.59996337778862885"/>
        </top>
        <bottom style="thin">
          <color theme="9" tint="0.59996337778862885"/>
        </bottom>
        <vertical/>
        <horizontal style="dashDotDot">
          <color theme="9" tint="0.59996337778862885"/>
        </horizontal>
      </border>
    </dxf>
    <dxf>
      <fill>
        <patternFill patternType="solid">
          <fgColor theme="9" tint="0.79998168889431442"/>
          <bgColor theme="9" tint="0.79998168889431442"/>
        </patternFill>
      </fill>
    </dxf>
    <dxf>
      <fill>
        <patternFill patternType="solid">
          <fgColor theme="9" tint="0.79998168889431442"/>
          <bgColor theme="9" tint="0.79998168889431442"/>
        </patternFill>
      </fill>
    </dxf>
    <dxf>
      <font>
        <b/>
        <color theme="9" tint="-0.249977111117893"/>
      </font>
    </dxf>
    <dxf>
      <font>
        <b/>
        <color theme="9" tint="-0.249977111117893"/>
      </font>
    </dxf>
    <dxf>
      <font>
        <b/>
        <color theme="9" tint="-0.249977111117893"/>
      </font>
      <border>
        <top style="thin">
          <color theme="9"/>
        </top>
      </border>
    </dxf>
    <dxf>
      <font>
        <b/>
        <color theme="9" tint="-0.249977111117893"/>
      </font>
      <border>
        <bottom style="thin">
          <color theme="9"/>
        </bottom>
      </border>
    </dxf>
    <dxf>
      <font>
        <color theme="9" tint="-0.249977111117893"/>
      </font>
      <fill>
        <patternFill>
          <bgColor theme="0"/>
        </patternFill>
      </fill>
      <border>
        <top style="thin">
          <color theme="9"/>
        </top>
        <bottom style="thin">
          <color theme="9"/>
        </bottom>
      </border>
    </dxf>
  </dxfs>
  <tableStyles count="2" defaultTableStyle="TableStyleMedium2" defaultPivotStyle="PivotStyleLight16">
    <tableStyle name="StileTabellaLight7 2" pivot="0" count="7" xr9:uid="{00000000-0011-0000-FFFF-FFFF00000000}">
      <tableStyleElement type="wholeTable" dxfId="46"/>
      <tableStyleElement type="headerRow" dxfId="45"/>
      <tableStyleElement type="totalRow" dxfId="44"/>
      <tableStyleElement type="firstColumn" dxfId="43"/>
      <tableStyleElement type="lastColumn" dxfId="42"/>
      <tableStyleElement type="firstRowStripe" dxfId="41"/>
      <tableStyleElement type="firstColumnStripe" dxfId="40"/>
    </tableStyle>
    <tableStyle name="StileTabellaLight9 2" pivot="0" count="4" xr9:uid="{00000000-0011-0000-FFFF-FFFF01000000}">
      <tableStyleElement type="wholeTable" dxfId="39"/>
      <tableStyleElement type="headerRow" dxfId="38"/>
      <tableStyleElement type="totalRow" dxfId="37"/>
      <tableStyleElement type="firstColumn" dxfId="36"/>
    </tableStyle>
  </tableStyles>
  <colors>
    <mruColors>
      <color rgb="FF7A6F04"/>
      <color rgb="FFA19574"/>
      <color rgb="FFF45500"/>
      <color rgb="FF3F8583"/>
      <color rgb="FFB1CFCE"/>
      <color rgb="FFD9D9D9"/>
      <color rgb="FF136C69"/>
      <color rgb="FF56B053"/>
      <color rgb="FFC17529"/>
      <color rgb="FFFDFDF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alcChain" Target="calcChain.xml"/><Relationship Id="rId5" Type="http://schemas.microsoft.com/office/2017/10/relationships/person" Target="persons/person.xml"/><Relationship Id="rId4" Type="http://schemas.openxmlformats.org/officeDocument/2006/relationships/sharedStrings" Target="sharedStrings.xml"/></Relationships>
</file>

<file path=xl/ctrlProps/ctrlProp1.xml><?xml version="1.0" encoding="utf-8"?>
<formControlPr xmlns="http://schemas.microsoft.com/office/spreadsheetml/2009/9/main" objectType="Spin" dx="16" fmlaLink="$M$1" max="2999" min="1900" page="10" val="2025"/>
</file>

<file path=xl/drawings/_rels/drawing1.xml.rels><?xml version="1.0" encoding="UTF-8" standalone="yes"?>
<Relationships xmlns="http://schemas.openxmlformats.org/package/2006/relationships"><Relationship Id="rId8" Type="http://schemas.openxmlformats.org/officeDocument/2006/relationships/image" Target="../media/image8.wmf"/><Relationship Id="rId13" Type="http://schemas.openxmlformats.org/officeDocument/2006/relationships/image" Target="../media/image13.jpg"/><Relationship Id="rId3" Type="http://schemas.openxmlformats.org/officeDocument/2006/relationships/image" Target="../media/image3.jpg"/><Relationship Id="rId7" Type="http://schemas.openxmlformats.org/officeDocument/2006/relationships/image" Target="../media/image7.jpg"/><Relationship Id="rId12" Type="http://schemas.openxmlformats.org/officeDocument/2006/relationships/image" Target="../media/image12.wmf"/><Relationship Id="rId17" Type="http://schemas.openxmlformats.org/officeDocument/2006/relationships/image" Target="../media/image17.png"/><Relationship Id="rId2" Type="http://schemas.openxmlformats.org/officeDocument/2006/relationships/image" Target="../media/image2.jpg"/><Relationship Id="rId16" Type="http://schemas.openxmlformats.org/officeDocument/2006/relationships/image" Target="../media/image16.jpg"/><Relationship Id="rId1" Type="http://schemas.openxmlformats.org/officeDocument/2006/relationships/image" Target="../media/image1.wmf"/><Relationship Id="rId6" Type="http://schemas.openxmlformats.org/officeDocument/2006/relationships/image" Target="../media/image6.jpg"/><Relationship Id="rId11" Type="http://schemas.openxmlformats.org/officeDocument/2006/relationships/image" Target="../media/image11.jpg"/><Relationship Id="rId5" Type="http://schemas.openxmlformats.org/officeDocument/2006/relationships/image" Target="../media/image5.jpg"/><Relationship Id="rId15" Type="http://schemas.openxmlformats.org/officeDocument/2006/relationships/image" Target="../media/image15.png"/><Relationship Id="rId10" Type="http://schemas.openxmlformats.org/officeDocument/2006/relationships/image" Target="../media/image10.jpg"/><Relationship Id="rId4" Type="http://schemas.openxmlformats.org/officeDocument/2006/relationships/image" Target="../media/image4.wmf"/><Relationship Id="rId9" Type="http://schemas.openxmlformats.org/officeDocument/2006/relationships/image" Target="../media/image9.jpg"/><Relationship Id="rId14" Type="http://schemas.openxmlformats.org/officeDocument/2006/relationships/image" Target="../media/image14.jpg"/></Relationships>
</file>

<file path=xl/drawings/drawing1.xml><?xml version="1.0" encoding="utf-8"?>
<xdr:wsDr xmlns:xdr="http://schemas.openxmlformats.org/drawingml/2006/spreadsheetDrawing" xmlns:a="http://schemas.openxmlformats.org/drawingml/2006/main">
  <xdr:twoCellAnchor editAs="oneCell">
    <xdr:from>
      <xdr:col>9</xdr:col>
      <xdr:colOff>371476</xdr:colOff>
      <xdr:row>0</xdr:row>
      <xdr:rowOff>0</xdr:rowOff>
    </xdr:from>
    <xdr:to>
      <xdr:col>11</xdr:col>
      <xdr:colOff>456829</xdr:colOff>
      <xdr:row>3</xdr:row>
      <xdr:rowOff>3535</xdr:rowOff>
    </xdr:to>
    <xdr:pic>
      <xdr:nvPicPr>
        <xdr:cNvPr id="3" name="Immagine 2" descr="Albero e fiocco di neve">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duotone>
            <a:prstClr val="black"/>
            <a:schemeClr val="accent1">
              <a:tint val="45000"/>
              <a:satMod val="400000"/>
            </a:schemeClr>
          </a:duotone>
          <a:extLst>
            <a:ext uri="{28A0092B-C50C-407E-A947-70E740481C1C}">
              <a14:useLocalDpi xmlns:a14="http://schemas.microsoft.com/office/drawing/2010/main" val="0"/>
            </a:ext>
          </a:extLst>
        </a:blip>
        <a:stretch>
          <a:fillRect/>
        </a:stretch>
      </xdr:blipFill>
      <xdr:spPr>
        <a:xfrm>
          <a:off x="4848226" y="152399"/>
          <a:ext cx="1437870" cy="942975"/>
        </a:xfrm>
        <a:prstGeom prst="rect">
          <a:avLst/>
        </a:prstGeom>
      </xdr:spPr>
    </xdr:pic>
    <xdr:clientData/>
  </xdr:twoCellAnchor>
  <xdr:twoCellAnchor editAs="oneCell">
    <xdr:from>
      <xdr:col>0</xdr:col>
      <xdr:colOff>288041</xdr:colOff>
      <xdr:row>1</xdr:row>
      <xdr:rowOff>1571</xdr:rowOff>
    </xdr:from>
    <xdr:to>
      <xdr:col>15</xdr:col>
      <xdr:colOff>52371</xdr:colOff>
      <xdr:row>16</xdr:row>
      <xdr:rowOff>52369</xdr:rowOff>
    </xdr:to>
    <xdr:grpSp>
      <xdr:nvGrpSpPr>
        <xdr:cNvPr id="46" name="Gruppo 45" descr="Blocco della stagione con immagine e note">
          <a:extLst>
            <a:ext uri="{FF2B5EF4-FFF2-40B4-BE49-F238E27FC236}">
              <a16:creationId xmlns:a16="http://schemas.microsoft.com/office/drawing/2014/main" id="{00000000-0008-0000-0000-00002E000000}"/>
            </a:ext>
          </a:extLst>
        </xdr:cNvPr>
        <xdr:cNvGrpSpPr/>
      </xdr:nvGrpSpPr>
      <xdr:grpSpPr>
        <a:xfrm>
          <a:off x="288041" y="517268"/>
          <a:ext cx="9154633" cy="3645283"/>
          <a:chOff x="327914" y="895348"/>
          <a:chExt cx="8727338" cy="3910961"/>
        </a:xfrm>
      </xdr:grpSpPr>
      <xdr:sp macro="" textlink="">
        <xdr:nvSpPr>
          <xdr:cNvPr id="2" name="Rettangolo 1" descr="Blocco blu che rappresenta l’inverno">
            <a:extLst>
              <a:ext uri="{FF2B5EF4-FFF2-40B4-BE49-F238E27FC236}">
                <a16:creationId xmlns:a16="http://schemas.microsoft.com/office/drawing/2014/main" id="{00000000-0008-0000-0000-000002000000}"/>
              </a:ext>
            </a:extLst>
          </xdr:cNvPr>
          <xdr:cNvSpPr/>
        </xdr:nvSpPr>
        <xdr:spPr>
          <a:xfrm>
            <a:off x="327914" y="895348"/>
            <a:ext cx="8727338" cy="3566160"/>
          </a:xfrm>
          <a:prstGeom prst="rect">
            <a:avLst/>
          </a:prstGeom>
          <a:gradFill>
            <a:gsLst>
              <a:gs pos="0">
                <a:schemeClr val="accent1">
                  <a:lumMod val="50000"/>
                </a:schemeClr>
              </a:gs>
              <a:gs pos="52000">
                <a:schemeClr val="accent1">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4" name="Immagin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a:srcRect/>
          <a:stretch/>
        </xdr:blipFill>
        <xdr:spPr>
          <a:xfrm>
            <a:off x="558608" y="1050929"/>
            <a:ext cx="4544717" cy="3245772"/>
          </a:xfrm>
          <a:prstGeom prst="rect">
            <a:avLst/>
          </a:prstGeom>
          <a:ln w="88900" cap="sq" cmpd="sng">
            <a:solidFill>
              <a:schemeClr val="bg1"/>
            </a:solidFill>
            <a:prstDash val="solid"/>
            <a:miter lim="800000"/>
          </a:ln>
          <a:effectLst>
            <a:innerShdw blurRad="114300">
              <a:prstClr val="black"/>
            </a:innerShdw>
          </a:effectLst>
        </xdr:spPr>
      </xdr:pic>
      <xdr:sp macro="" textlink="J2">
        <xdr:nvSpPr>
          <xdr:cNvPr id="5" name="CasellaDiTesto 4" descr="Note">
            <a:extLst>
              <a:ext uri="{FF2B5EF4-FFF2-40B4-BE49-F238E27FC236}">
                <a16:creationId xmlns:a16="http://schemas.microsoft.com/office/drawing/2014/main" id="{00000000-0008-0000-0000-000005000000}"/>
              </a:ext>
            </a:extLst>
          </xdr:cNvPr>
          <xdr:cNvSpPr txBox="1"/>
        </xdr:nvSpPr>
        <xdr:spPr>
          <a:xfrm>
            <a:off x="6140938" y="934173"/>
            <a:ext cx="2020824" cy="38721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B4ADB0E0-3411-46C2-A6D9-A535DCBC2046}" type="TxLink">
              <a:rPr lang="en-US" sz="1200" b="0" i="0" u="none" strike="noStrike">
                <a:solidFill>
                  <a:schemeClr val="bg1"/>
                </a:solidFill>
                <a:latin typeface="Cambria" panose="02040503050406030204" pitchFamily="18" charset="0"/>
              </a:rPr>
              <a:pPr algn="ctr" rtl="0"/>
              <a:t>NOTE
</a:t>
            </a:fld>
            <a:r>
              <a:rPr lang="en-US" sz="1200" b="0" i="0" u="none" strike="noStrike">
                <a:solidFill>
                  <a:schemeClr val="bg1"/>
                </a:solidFill>
                <a:latin typeface="Cambria" panose="02040503050406030204" pitchFamily="18" charset="0"/>
              </a:rPr>
              <a:t>GENESI</a:t>
            </a:r>
            <a:r>
              <a:rPr lang="en-US" sz="1200" b="0" i="0" u="none" strike="noStrike" baseline="0">
                <a:solidFill>
                  <a:schemeClr val="bg1"/>
                </a:solidFill>
                <a:latin typeface="Cambria" panose="02040503050406030204" pitchFamily="18" charset="0"/>
              </a:rPr>
              <a:t> </a:t>
            </a:r>
          </a:p>
          <a:p>
            <a:pPr algn="ctr" rtl="0"/>
            <a:r>
              <a:rPr lang="en-US" sz="1200" b="0" i="0" u="none" strike="noStrike" baseline="0">
                <a:solidFill>
                  <a:schemeClr val="bg1"/>
                </a:solidFill>
                <a:latin typeface="Cambria" panose="02040503050406030204" pitchFamily="18" charset="0"/>
              </a:rPr>
              <a:t>Inizio o origine di ogni cosa</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Presenta Gesù come il nostro</a:t>
            </a:r>
          </a:p>
          <a:p>
            <a:pPr algn="ctr" rtl="0"/>
            <a:r>
              <a:rPr lang="en-US" sz="1200" b="0" i="0" u="none" strike="noStrike" baseline="0">
                <a:solidFill>
                  <a:schemeClr val="bg1"/>
                </a:solidFill>
                <a:latin typeface="Cambria" panose="02040503050406030204" pitchFamily="18" charset="0"/>
              </a:rPr>
              <a:t>Dio Creatore</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Verso chiave: Genesi 3:15</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ESODO</a:t>
            </a:r>
          </a:p>
          <a:p>
            <a:pPr algn="ctr" rtl="0"/>
            <a:r>
              <a:rPr lang="en-US" sz="1200" b="0" i="0" u="none" strike="noStrike" baseline="0">
                <a:solidFill>
                  <a:schemeClr val="bg1"/>
                </a:solidFill>
                <a:latin typeface="Cambria" panose="02040503050406030204" pitchFamily="18" charset="0"/>
              </a:rPr>
              <a:t>Uscita</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Presenta Gesù quale Agnello Pasquale</a:t>
            </a:r>
          </a:p>
          <a:p>
            <a:pPr algn="ctr" rtl="0"/>
            <a:endParaRPr lang="en-US" sz="1200">
              <a:solidFill>
                <a:schemeClr val="bg1"/>
              </a:solidFill>
              <a:latin typeface="Cambria" panose="02040503050406030204" pitchFamily="18" charset="0"/>
            </a:endParaRPr>
          </a:p>
          <a:p>
            <a:pPr algn="ctr" rtl="0"/>
            <a:r>
              <a:rPr lang="en-US" sz="1200">
                <a:solidFill>
                  <a:schemeClr val="bg1"/>
                </a:solidFill>
                <a:latin typeface="Cambria" panose="02040503050406030204" pitchFamily="18" charset="0"/>
              </a:rPr>
              <a:t>Verso</a:t>
            </a:r>
            <a:r>
              <a:rPr lang="en-US" sz="1200" baseline="0">
                <a:solidFill>
                  <a:schemeClr val="bg1"/>
                </a:solidFill>
                <a:latin typeface="Cambria" panose="02040503050406030204" pitchFamily="18" charset="0"/>
              </a:rPr>
              <a:t> Chiave: Esodo 12</a:t>
            </a:r>
            <a:endParaRPr lang="en-US" sz="1200">
              <a:solidFill>
                <a:schemeClr val="bg1"/>
              </a:solidFill>
              <a:latin typeface="Cambria" panose="02040503050406030204" pitchFamily="18" charset="0"/>
            </a:endParaRPr>
          </a:p>
        </xdr:txBody>
      </xdr:sp>
    </xdr:grpSp>
    <xdr:clientData/>
  </xdr:twoCellAnchor>
  <xdr:twoCellAnchor editAs="oneCell">
    <xdr:from>
      <xdr:col>9</xdr:col>
      <xdr:colOff>371476</xdr:colOff>
      <xdr:row>27</xdr:row>
      <xdr:rowOff>144703</xdr:rowOff>
    </xdr:from>
    <xdr:to>
      <xdr:col>11</xdr:col>
      <xdr:colOff>456829</xdr:colOff>
      <xdr:row>29</xdr:row>
      <xdr:rowOff>207434</xdr:rowOff>
    </xdr:to>
    <xdr:pic>
      <xdr:nvPicPr>
        <xdr:cNvPr id="6" name="Immagine 5" descr="Albero e fiocco di neve">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
          <a:duotone>
            <a:prstClr val="black"/>
            <a:schemeClr val="accent1">
              <a:tint val="45000"/>
              <a:satMod val="400000"/>
            </a:schemeClr>
          </a:duotone>
          <a:extLst>
            <a:ext uri="{28A0092B-C50C-407E-A947-70E740481C1C}">
              <a14:useLocalDpi xmlns:a14="http://schemas.microsoft.com/office/drawing/2010/main" val="0"/>
            </a:ext>
          </a:extLst>
        </a:blip>
        <a:stretch>
          <a:fillRect/>
        </a:stretch>
      </xdr:blipFill>
      <xdr:spPr>
        <a:xfrm>
          <a:off x="6121112" y="8318885"/>
          <a:ext cx="1409232" cy="986367"/>
        </a:xfrm>
        <a:prstGeom prst="rect">
          <a:avLst/>
        </a:prstGeom>
      </xdr:spPr>
    </xdr:pic>
    <xdr:clientData/>
  </xdr:twoCellAnchor>
  <xdr:twoCellAnchor editAs="oneCell">
    <xdr:from>
      <xdr:col>1</xdr:col>
      <xdr:colOff>4063</xdr:colOff>
      <xdr:row>27</xdr:row>
      <xdr:rowOff>562990</xdr:rowOff>
    </xdr:from>
    <xdr:to>
      <xdr:col>15</xdr:col>
      <xdr:colOff>52371</xdr:colOff>
      <xdr:row>43</xdr:row>
      <xdr:rowOff>22859</xdr:rowOff>
    </xdr:to>
    <xdr:grpSp>
      <xdr:nvGrpSpPr>
        <xdr:cNvPr id="47" name="Gruppo 46" descr="Blocco della stagione con immagine e note">
          <a:extLst>
            <a:ext uri="{FF2B5EF4-FFF2-40B4-BE49-F238E27FC236}">
              <a16:creationId xmlns:a16="http://schemas.microsoft.com/office/drawing/2014/main" id="{00000000-0008-0000-0000-00002F000000}"/>
            </a:ext>
          </a:extLst>
        </xdr:cNvPr>
        <xdr:cNvGrpSpPr/>
      </xdr:nvGrpSpPr>
      <xdr:grpSpPr>
        <a:xfrm>
          <a:off x="319639" y="8198384"/>
          <a:ext cx="9123035" cy="3723990"/>
          <a:chOff x="327914" y="11782423"/>
          <a:chExt cx="8739688" cy="3566160"/>
        </a:xfrm>
      </xdr:grpSpPr>
      <xdr:sp macro="" textlink="">
        <xdr:nvSpPr>
          <xdr:cNvPr id="7" name="Rettangolo 6" descr="Blocco blu che rappresenta l’inverno">
            <a:extLst>
              <a:ext uri="{FF2B5EF4-FFF2-40B4-BE49-F238E27FC236}">
                <a16:creationId xmlns:a16="http://schemas.microsoft.com/office/drawing/2014/main" id="{00000000-0008-0000-0000-000007000000}"/>
              </a:ext>
            </a:extLst>
          </xdr:cNvPr>
          <xdr:cNvSpPr/>
        </xdr:nvSpPr>
        <xdr:spPr>
          <a:xfrm>
            <a:off x="327914" y="11782423"/>
            <a:ext cx="8739688" cy="3566160"/>
          </a:xfrm>
          <a:prstGeom prst="rect">
            <a:avLst/>
          </a:prstGeom>
          <a:gradFill>
            <a:gsLst>
              <a:gs pos="0">
                <a:schemeClr val="accent1">
                  <a:lumMod val="50000"/>
                </a:schemeClr>
              </a:gs>
              <a:gs pos="52000">
                <a:schemeClr val="accent1">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
          <a:srcRect/>
          <a:stretch/>
        </xdr:blipFill>
        <xdr:spPr>
          <a:xfrm>
            <a:off x="595657" y="12010173"/>
            <a:ext cx="4376312" cy="3125500"/>
          </a:xfrm>
          <a:prstGeom prst="rect">
            <a:avLst/>
          </a:prstGeom>
          <a:ln w="88900" cap="sq" cmpd="sng">
            <a:solidFill>
              <a:schemeClr val="bg1"/>
            </a:solidFill>
            <a:prstDash val="solid"/>
            <a:miter lim="800000"/>
          </a:ln>
          <a:effectLst>
            <a:innerShdw blurRad="114300">
              <a:prstClr val="black"/>
            </a:innerShdw>
          </a:effectLst>
        </xdr:spPr>
      </xdr:pic>
      <xdr:sp macro="" textlink="J29">
        <xdr:nvSpPr>
          <xdr:cNvPr id="9" name="CasellaDiTesto 8" descr="Note">
            <a:extLst>
              <a:ext uri="{FF2B5EF4-FFF2-40B4-BE49-F238E27FC236}">
                <a16:creationId xmlns:a16="http://schemas.microsoft.com/office/drawing/2014/main" id="{00000000-0008-0000-0000-000009000000}"/>
              </a:ext>
            </a:extLst>
          </xdr:cNvPr>
          <xdr:cNvSpPr txBox="1"/>
        </xdr:nvSpPr>
        <xdr:spPr>
          <a:xfrm>
            <a:off x="6129638" y="11959694"/>
            <a:ext cx="2020824" cy="32715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0774B4B5-CE9B-4950-BAD5-86FE61F4953C}" type="TxLink">
              <a:rPr lang="en-US" sz="1200" b="0" i="0" u="none" strike="noStrike">
                <a:solidFill>
                  <a:srgbClr val="FFFFFF"/>
                </a:solidFill>
                <a:latin typeface="Cambria" panose="02040503050406030204" pitchFamily="18" charset="0"/>
              </a:rPr>
              <a:pPr algn="ctr" rtl="0"/>
              <a:t>NOTE
</a:t>
            </a:fld>
            <a:r>
              <a:rPr lang="en-US" sz="1200" b="0" i="0" u="none" strike="noStrike">
                <a:solidFill>
                  <a:srgbClr val="FFFFFF"/>
                </a:solidFill>
                <a:latin typeface="Cambria" panose="02040503050406030204" pitchFamily="18" charset="0"/>
              </a:rPr>
              <a:t>LEVITICO</a:t>
            </a:r>
          </a:p>
          <a:p>
            <a:pPr algn="ctr" rtl="0"/>
            <a:r>
              <a:rPr lang="en-US" sz="1200" b="0" i="0" u="none" strike="noStrike">
                <a:solidFill>
                  <a:srgbClr val="FFFFFF"/>
                </a:solidFill>
                <a:latin typeface="Cambria" panose="02040503050406030204" pitchFamily="18" charset="0"/>
              </a:rPr>
              <a:t>dei</a:t>
            </a:r>
            <a:r>
              <a:rPr lang="en-US" sz="1200" b="0" i="0" u="none" strike="noStrike" baseline="0">
                <a:solidFill>
                  <a:srgbClr val="FFFFFF"/>
                </a:solidFill>
                <a:latin typeface="Cambria" panose="02040503050406030204" pitchFamily="18" charset="0"/>
              </a:rPr>
              <a:t> Leviti</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Sacrificio per il peccato</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Levitico 11:44</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NUMERI</a:t>
            </a:r>
          </a:p>
          <a:p>
            <a:pPr algn="ctr" rtl="0"/>
            <a:r>
              <a:rPr lang="en-US" sz="1200" b="0" i="0" u="none" strike="noStrike" baseline="0">
                <a:solidFill>
                  <a:srgbClr val="FFFFFF"/>
                </a:solidFill>
                <a:latin typeface="Cambria" panose="02040503050406030204" pitchFamily="18" charset="0"/>
              </a:rPr>
              <a:t>Censimenti</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innalzato per noi.</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Numeri 21:8</a:t>
            </a:r>
            <a:endParaRPr lang="en-US" sz="1200">
              <a:solidFill>
                <a:schemeClr val="bg1"/>
              </a:solidFill>
              <a:latin typeface="Cambria" panose="02040503050406030204" pitchFamily="18" charset="0"/>
            </a:endParaRPr>
          </a:p>
        </xdr:txBody>
      </xdr:sp>
    </xdr:grpSp>
    <xdr:clientData/>
  </xdr:twoCellAnchor>
  <xdr:twoCellAnchor editAs="oneCell">
    <xdr:from>
      <xdr:col>10</xdr:col>
      <xdr:colOff>57150</xdr:colOff>
      <xdr:row>56</xdr:row>
      <xdr:rowOff>73554</xdr:rowOff>
    </xdr:from>
    <xdr:to>
      <xdr:col>11</xdr:col>
      <xdr:colOff>498901</xdr:colOff>
      <xdr:row>57</xdr:row>
      <xdr:rowOff>185474</xdr:rowOff>
    </xdr:to>
    <xdr:pic>
      <xdr:nvPicPr>
        <xdr:cNvPr id="10" name="Immagine 9" descr="Albero verde">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4">
          <a:duotone>
            <a:prstClr val="black"/>
            <a:schemeClr val="accent2">
              <a:tint val="45000"/>
              <a:satMod val="400000"/>
            </a:schemeClr>
          </a:duotone>
          <a:extLst>
            <a:ext uri="{28A0092B-C50C-407E-A947-70E740481C1C}">
              <a14:useLocalDpi xmlns:a14="http://schemas.microsoft.com/office/drawing/2010/main" val="0"/>
            </a:ext>
          </a:extLst>
        </a:blip>
        <a:stretch>
          <a:fillRect/>
        </a:stretch>
      </xdr:blipFill>
      <xdr:spPr>
        <a:xfrm>
          <a:off x="5953125" y="22028679"/>
          <a:ext cx="771525" cy="797719"/>
        </a:xfrm>
        <a:prstGeom prst="rect">
          <a:avLst/>
        </a:prstGeom>
      </xdr:spPr>
    </xdr:pic>
    <xdr:clientData/>
  </xdr:twoCellAnchor>
  <xdr:twoCellAnchor editAs="oneCell">
    <xdr:from>
      <xdr:col>1</xdr:col>
      <xdr:colOff>0</xdr:colOff>
      <xdr:row>56</xdr:row>
      <xdr:rowOff>602267</xdr:rowOff>
    </xdr:from>
    <xdr:to>
      <xdr:col>15</xdr:col>
      <xdr:colOff>39278</xdr:colOff>
      <xdr:row>72</xdr:row>
      <xdr:rowOff>19049</xdr:rowOff>
    </xdr:to>
    <xdr:grpSp>
      <xdr:nvGrpSpPr>
        <xdr:cNvPr id="48" name="Gruppo 47" descr="Blocco della stagione con immagine e note">
          <a:extLst>
            <a:ext uri="{FF2B5EF4-FFF2-40B4-BE49-F238E27FC236}">
              <a16:creationId xmlns:a16="http://schemas.microsoft.com/office/drawing/2014/main" id="{00000000-0008-0000-0000-000030000000}"/>
            </a:ext>
          </a:extLst>
        </xdr:cNvPr>
        <xdr:cNvGrpSpPr/>
      </xdr:nvGrpSpPr>
      <xdr:grpSpPr>
        <a:xfrm>
          <a:off x="315576" y="15642146"/>
          <a:ext cx="9114005" cy="3680903"/>
          <a:chOff x="323850" y="22669499"/>
          <a:chExt cx="8793085" cy="3562351"/>
        </a:xfrm>
      </xdr:grpSpPr>
      <xdr:sp macro="" textlink="">
        <xdr:nvSpPr>
          <xdr:cNvPr id="11" name="Rettangolo 10" descr="Blocco verde che rappresenta la primavera">
            <a:extLst>
              <a:ext uri="{FF2B5EF4-FFF2-40B4-BE49-F238E27FC236}">
                <a16:creationId xmlns:a16="http://schemas.microsoft.com/office/drawing/2014/main" id="{00000000-0008-0000-0000-00000B000000}"/>
              </a:ext>
            </a:extLst>
          </xdr:cNvPr>
          <xdr:cNvSpPr/>
        </xdr:nvSpPr>
        <xdr:spPr>
          <a:xfrm>
            <a:off x="323850" y="22669499"/>
            <a:ext cx="8793085" cy="3562351"/>
          </a:xfrm>
          <a:prstGeom prst="rect">
            <a:avLst/>
          </a:prstGeom>
          <a:gradFill>
            <a:gsLst>
              <a:gs pos="0">
                <a:schemeClr val="accent2">
                  <a:lumMod val="75000"/>
                </a:schemeClr>
              </a:gs>
              <a:gs pos="52000">
                <a:schemeClr val="accent2">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12" name="Immagin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5"/>
          <a:srcRect/>
          <a:stretch/>
        </xdr:blipFill>
        <xdr:spPr>
          <a:xfrm>
            <a:off x="515459" y="22866885"/>
            <a:ext cx="4704169" cy="3182486"/>
          </a:xfrm>
          <a:prstGeom prst="rect">
            <a:avLst/>
          </a:prstGeom>
          <a:ln w="88900" cap="sq" cmpd="sng">
            <a:solidFill>
              <a:schemeClr val="bg1"/>
            </a:solidFill>
            <a:prstDash val="solid"/>
            <a:miter lim="800000"/>
          </a:ln>
          <a:effectLst>
            <a:innerShdw blurRad="114300">
              <a:prstClr val="black"/>
            </a:innerShdw>
          </a:effectLst>
        </xdr:spPr>
      </xdr:pic>
      <xdr:sp macro="" textlink="J58">
        <xdr:nvSpPr>
          <xdr:cNvPr id="13" name="CasellaDiTesto 12" descr="Note">
            <a:extLst>
              <a:ext uri="{FF2B5EF4-FFF2-40B4-BE49-F238E27FC236}">
                <a16:creationId xmlns:a16="http://schemas.microsoft.com/office/drawing/2014/main" id="{00000000-0008-0000-0000-00000D000000}"/>
              </a:ext>
            </a:extLst>
          </xdr:cNvPr>
          <xdr:cNvSpPr txBox="1"/>
        </xdr:nvSpPr>
        <xdr:spPr>
          <a:xfrm>
            <a:off x="5317379" y="22850475"/>
            <a:ext cx="2020824" cy="32999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3F3973DD-6219-4BB2-8E58-5CC1773E09D7}" type="TxLink">
              <a:rPr lang="en-US" sz="1200" b="0" i="0" u="none" strike="noStrike">
                <a:solidFill>
                  <a:srgbClr val="FFFFFF"/>
                </a:solidFill>
                <a:latin typeface="Cambria" panose="02040503050406030204" pitchFamily="18" charset="0"/>
              </a:rPr>
              <a:pPr algn="ctr" rtl="0"/>
              <a:t>NOTE
</a:t>
            </a:fld>
            <a:r>
              <a:rPr lang="en-US" sz="1200" b="0" i="0" u="none" strike="noStrike">
                <a:solidFill>
                  <a:srgbClr val="FFFFFF"/>
                </a:solidFill>
                <a:latin typeface="Cambria" panose="02040503050406030204" pitchFamily="18" charset="0"/>
              </a:rPr>
              <a:t>DEUTERONOMIO</a:t>
            </a:r>
          </a:p>
          <a:p>
            <a:pPr algn="ctr" rtl="0"/>
            <a:r>
              <a:rPr lang="en-US" sz="1200" b="0" i="0" u="none" strike="noStrike">
                <a:solidFill>
                  <a:srgbClr val="FFFFFF"/>
                </a:solidFill>
                <a:latin typeface="Cambria" panose="02040503050406030204" pitchFamily="18" charset="0"/>
              </a:rPr>
              <a:t>Seconda</a:t>
            </a:r>
            <a:r>
              <a:rPr lang="en-US" sz="1200" b="0" i="0" u="none" strike="noStrike" baseline="0">
                <a:solidFill>
                  <a:srgbClr val="FFFFFF"/>
                </a:solidFill>
                <a:latin typeface="Cambria" panose="02040503050406030204" pitchFamily="18" charset="0"/>
              </a:rPr>
              <a:t> Legge</a:t>
            </a:r>
            <a:endParaRPr lang="en-US" sz="1200" b="0" i="0" u="none" strike="noStrike" baseline="0">
              <a:solidFill>
                <a:schemeClr val="bg1"/>
              </a:solidFill>
              <a:latin typeface="Cambria" panose="02040503050406030204" pitchFamily="18" charset="0"/>
            </a:endParaRP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Presenta Gesù quale </a:t>
            </a:r>
          </a:p>
          <a:p>
            <a:pPr algn="ctr" rtl="0"/>
            <a:r>
              <a:rPr lang="en-US" sz="1200" b="0" i="0" u="none" strike="noStrike" baseline="0">
                <a:solidFill>
                  <a:schemeClr val="bg1"/>
                </a:solidFill>
                <a:latin typeface="Cambria" panose="02040503050406030204" pitchFamily="18" charset="0"/>
              </a:rPr>
              <a:t>nostro Vero Profeta</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Verso Chiave: Deut. 6:4-9</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GIOSUE'</a:t>
            </a:r>
          </a:p>
          <a:p>
            <a:pPr algn="ctr" rtl="0"/>
            <a:r>
              <a:rPr lang="en-US" sz="1200" b="0" i="0" u="none" strike="noStrike" baseline="0">
                <a:solidFill>
                  <a:schemeClr val="bg1"/>
                </a:solidFill>
                <a:latin typeface="Cambria" panose="02040503050406030204" pitchFamily="18" charset="0"/>
              </a:rPr>
              <a:t>L'Eterno Salva</a:t>
            </a:r>
            <a:endParaRPr lang="en-US" sz="1200" b="0" i="0" u="none" strike="noStrike" baseline="0">
              <a:solidFill>
                <a:srgbClr val="FFFFFF"/>
              </a:solidFill>
              <a:latin typeface="Cambria" panose="02040503050406030204" pitchFamily="18" charset="0"/>
            </a:endParaRP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a:t>
            </a:r>
          </a:p>
          <a:p>
            <a:pPr algn="ctr" rtl="0"/>
            <a:r>
              <a:rPr lang="en-US" sz="1200" b="0" i="0" u="none" strike="noStrike" baseline="0">
                <a:solidFill>
                  <a:srgbClr val="FFFFFF"/>
                </a:solidFill>
                <a:latin typeface="Cambria" panose="02040503050406030204" pitchFamily="18" charset="0"/>
              </a:rPr>
              <a:t>Autore della </a:t>
            </a:r>
          </a:p>
          <a:p>
            <a:pPr algn="ctr" rtl="0"/>
            <a:r>
              <a:rPr lang="en-US" sz="1200" b="0" i="0" u="none" strike="noStrike" baseline="0">
                <a:solidFill>
                  <a:srgbClr val="FFFFFF"/>
                </a:solidFill>
                <a:latin typeface="Cambria" panose="02040503050406030204" pitchFamily="18" charset="0"/>
              </a:rPr>
              <a:t>Nostra Salvezza</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Giosuè 1:9</a:t>
            </a:r>
          </a:p>
          <a:p>
            <a:pPr algn="ctr" rtl="0"/>
            <a:endParaRPr lang="en-US" sz="1200" b="0" i="0" u="none" strike="noStrike" baseline="0">
              <a:solidFill>
                <a:srgbClr val="FFFFFF"/>
              </a:solidFill>
              <a:latin typeface="Cambria" panose="02040503050406030204" pitchFamily="18" charset="0"/>
            </a:endParaRPr>
          </a:p>
        </xdr:txBody>
      </xdr:sp>
    </xdr:grpSp>
    <xdr:clientData/>
  </xdr:twoCellAnchor>
  <xdr:twoCellAnchor editAs="oneCell">
    <xdr:from>
      <xdr:col>11</xdr:col>
      <xdr:colOff>9525</xdr:colOff>
      <xdr:row>84</xdr:row>
      <xdr:rowOff>73554</xdr:rowOff>
    </xdr:from>
    <xdr:to>
      <xdr:col>11</xdr:col>
      <xdr:colOff>781050</xdr:colOff>
      <xdr:row>85</xdr:row>
      <xdr:rowOff>185472</xdr:rowOff>
    </xdr:to>
    <xdr:pic>
      <xdr:nvPicPr>
        <xdr:cNvPr id="14" name="Immagine 13" descr="Albero verde">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4">
          <a:duotone>
            <a:prstClr val="black"/>
            <a:schemeClr val="accent2">
              <a:tint val="45000"/>
              <a:satMod val="400000"/>
            </a:schemeClr>
          </a:duotone>
          <a:extLst>
            <a:ext uri="{28A0092B-C50C-407E-A947-70E740481C1C}">
              <a14:useLocalDpi xmlns:a14="http://schemas.microsoft.com/office/drawing/2010/main" val="0"/>
            </a:ext>
          </a:extLst>
        </a:blip>
        <a:stretch>
          <a:fillRect/>
        </a:stretch>
      </xdr:blipFill>
      <xdr:spPr>
        <a:xfrm>
          <a:off x="5524500" y="21933429"/>
          <a:ext cx="771525" cy="750094"/>
        </a:xfrm>
        <a:prstGeom prst="rect">
          <a:avLst/>
        </a:prstGeom>
      </xdr:spPr>
    </xdr:pic>
    <xdr:clientData/>
  </xdr:twoCellAnchor>
  <xdr:twoCellAnchor editAs="oneCell">
    <xdr:from>
      <xdr:col>1</xdr:col>
      <xdr:colOff>0</xdr:colOff>
      <xdr:row>84</xdr:row>
      <xdr:rowOff>589175</xdr:rowOff>
    </xdr:from>
    <xdr:to>
      <xdr:col>15</xdr:col>
      <xdr:colOff>26185</xdr:colOff>
      <xdr:row>100</xdr:row>
      <xdr:rowOff>19050</xdr:rowOff>
    </xdr:to>
    <xdr:grpSp>
      <xdr:nvGrpSpPr>
        <xdr:cNvPr id="49" name="Gruppo 48" descr="Blocco della stagione con immagine e note">
          <a:extLst>
            <a:ext uri="{FF2B5EF4-FFF2-40B4-BE49-F238E27FC236}">
              <a16:creationId xmlns:a16="http://schemas.microsoft.com/office/drawing/2014/main" id="{00000000-0008-0000-0000-000031000000}"/>
            </a:ext>
          </a:extLst>
        </xdr:cNvPr>
        <xdr:cNvGrpSpPr/>
      </xdr:nvGrpSpPr>
      <xdr:grpSpPr>
        <a:xfrm>
          <a:off x="315576" y="22941175"/>
          <a:ext cx="9100912" cy="3693996"/>
          <a:chOff x="323850" y="33556574"/>
          <a:chExt cx="8768385" cy="3562351"/>
        </a:xfrm>
      </xdr:grpSpPr>
      <xdr:sp macro="" textlink="">
        <xdr:nvSpPr>
          <xdr:cNvPr id="15" name="Rettangolo 14" descr="Blocco verde che rappresenta la primavera">
            <a:extLst>
              <a:ext uri="{FF2B5EF4-FFF2-40B4-BE49-F238E27FC236}">
                <a16:creationId xmlns:a16="http://schemas.microsoft.com/office/drawing/2014/main" id="{00000000-0008-0000-0000-00000F000000}"/>
              </a:ext>
            </a:extLst>
          </xdr:cNvPr>
          <xdr:cNvSpPr/>
        </xdr:nvSpPr>
        <xdr:spPr>
          <a:xfrm>
            <a:off x="323850" y="33556574"/>
            <a:ext cx="8768385" cy="3562351"/>
          </a:xfrm>
          <a:prstGeom prst="rect">
            <a:avLst/>
          </a:prstGeom>
          <a:gradFill>
            <a:gsLst>
              <a:gs pos="0">
                <a:schemeClr val="accent2">
                  <a:lumMod val="75000"/>
                </a:schemeClr>
              </a:gs>
              <a:gs pos="52000">
                <a:schemeClr val="accent2">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16" name="Immagin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rcRect/>
          <a:stretch/>
        </xdr:blipFill>
        <xdr:spPr>
          <a:xfrm>
            <a:off x="572578" y="33709180"/>
            <a:ext cx="4827055" cy="3265622"/>
          </a:xfrm>
          <a:prstGeom prst="rect">
            <a:avLst/>
          </a:prstGeom>
          <a:ln w="88900" cap="sq" cmpd="sng">
            <a:solidFill>
              <a:schemeClr val="bg1"/>
            </a:solidFill>
            <a:prstDash val="solid"/>
            <a:miter lim="800000"/>
          </a:ln>
          <a:effectLst>
            <a:innerShdw blurRad="114300">
              <a:prstClr val="black"/>
            </a:innerShdw>
          </a:effectLst>
        </xdr:spPr>
      </xdr:pic>
      <xdr:sp macro="" textlink="J86">
        <xdr:nvSpPr>
          <xdr:cNvPr id="17" name="CasellaDiTesto 16" descr="Note">
            <a:extLst>
              <a:ext uri="{FF2B5EF4-FFF2-40B4-BE49-F238E27FC236}">
                <a16:creationId xmlns:a16="http://schemas.microsoft.com/office/drawing/2014/main" id="{00000000-0008-0000-0000-000011000000}"/>
              </a:ext>
            </a:extLst>
          </xdr:cNvPr>
          <xdr:cNvSpPr txBox="1"/>
        </xdr:nvSpPr>
        <xdr:spPr>
          <a:xfrm>
            <a:off x="6240792" y="33750082"/>
            <a:ext cx="2172202" cy="31638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F6BC6EB1-2CAB-4C11-AB2B-2719D4AF2BD4}" type="TxLink">
              <a:rPr lang="en-US" sz="1200" b="0" i="0" u="none" strike="noStrike">
                <a:solidFill>
                  <a:srgbClr val="FFFFFF"/>
                </a:solidFill>
                <a:latin typeface="Cambria" panose="02040503050406030204" pitchFamily="18" charset="0"/>
              </a:rPr>
              <a:pPr algn="ctr" rtl="0"/>
              <a:t>NOTE
</a:t>
            </a:fld>
            <a:r>
              <a:rPr lang="en-US" sz="1200" b="0" i="0" u="none" strike="noStrike">
                <a:solidFill>
                  <a:srgbClr val="FFFFFF"/>
                </a:solidFill>
                <a:latin typeface="Cambria" panose="02040503050406030204" pitchFamily="18" charset="0"/>
              </a:rPr>
              <a:t>1 E 2 SAMUELE</a:t>
            </a:r>
          </a:p>
          <a:p>
            <a:pPr algn="ctr" rtl="0"/>
            <a:r>
              <a:rPr lang="en-US" sz="1200" b="0" i="0" u="none" strike="noStrike">
                <a:solidFill>
                  <a:srgbClr val="FFFFFF"/>
                </a:solidFill>
                <a:latin typeface="Cambria" panose="02040503050406030204" pitchFamily="18" charset="0"/>
              </a:rPr>
              <a:t>Chiesto</a:t>
            </a:r>
            <a:r>
              <a:rPr lang="en-US" sz="1200" b="0" i="0" u="none" strike="noStrike" baseline="0">
                <a:solidFill>
                  <a:srgbClr val="FFFFFF"/>
                </a:solidFill>
                <a:latin typeface="Cambria" panose="02040503050406030204" pitchFamily="18" charset="0"/>
              </a:rPr>
              <a:t> a Dio</a:t>
            </a:r>
          </a:p>
          <a:p>
            <a:pPr algn="ctr" rtl="0"/>
            <a:r>
              <a:rPr lang="en-US" sz="1200" b="0" i="0" u="none" strike="noStrike" baseline="0">
                <a:solidFill>
                  <a:srgbClr val="FFFFFF"/>
                </a:solidFill>
                <a:latin typeface="Cambria" panose="02040503050406030204" pitchFamily="18" charset="0"/>
              </a:rPr>
              <a:t>Figlio di Dio</a:t>
            </a:r>
          </a:p>
          <a:p>
            <a:pPr algn="ctr" rtl="0"/>
            <a:r>
              <a:rPr lang="en-US" sz="1200" b="0" i="0" u="none" strike="noStrike" baseline="0">
                <a:solidFill>
                  <a:srgbClr val="FFFFFF"/>
                </a:solidFill>
                <a:latin typeface="Cambria" panose="02040503050406030204" pitchFamily="18" charset="0"/>
              </a:rPr>
              <a:t>Udito da Dio</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a:t>
            </a:r>
          </a:p>
          <a:p>
            <a:pPr algn="ctr" rtl="0"/>
            <a:r>
              <a:rPr lang="en-US" sz="1200" b="0" i="0" u="none" strike="noStrike" baseline="0">
                <a:solidFill>
                  <a:srgbClr val="FFFFFF"/>
                </a:solidFill>
                <a:latin typeface="Cambria" panose="02040503050406030204" pitchFamily="18" charset="0"/>
              </a:rPr>
              <a:t>Nostro Re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1 Samuele 16:7</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1 E 2 RE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Re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2 Re 17:13</a:t>
            </a:r>
          </a:p>
          <a:p>
            <a:pPr algn="ctr" rtl="0"/>
            <a:endParaRPr lang="en-US" sz="1200" b="0" i="0" u="none" strike="noStrike" baseline="0">
              <a:solidFill>
                <a:srgbClr val="FFFFFF"/>
              </a:solidFill>
              <a:latin typeface="Cambria" panose="02040503050406030204" pitchFamily="18" charset="0"/>
            </a:endParaRPr>
          </a:p>
          <a:p>
            <a:pPr algn="ctr" rtl="0"/>
            <a:endParaRPr lang="en-US" sz="1600">
              <a:solidFill>
                <a:schemeClr val="bg1"/>
              </a:solidFill>
              <a:latin typeface="Cambria" panose="02040503050406030204" pitchFamily="18" charset="0"/>
            </a:endParaRPr>
          </a:p>
        </xdr:txBody>
      </xdr:sp>
    </xdr:grpSp>
    <xdr:clientData/>
  </xdr:twoCellAnchor>
  <xdr:twoCellAnchor editAs="oneCell">
    <xdr:from>
      <xdr:col>11</xdr:col>
      <xdr:colOff>9525</xdr:colOff>
      <xdr:row>112</xdr:row>
      <xdr:rowOff>73554</xdr:rowOff>
    </xdr:from>
    <xdr:to>
      <xdr:col>11</xdr:col>
      <xdr:colOff>781050</xdr:colOff>
      <xdr:row>113</xdr:row>
      <xdr:rowOff>185471</xdr:rowOff>
    </xdr:to>
    <xdr:pic>
      <xdr:nvPicPr>
        <xdr:cNvPr id="18" name="Immagine 17" descr="Albero verde">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4">
          <a:duotone>
            <a:prstClr val="black"/>
            <a:schemeClr val="accent2">
              <a:tint val="45000"/>
              <a:satMod val="400000"/>
            </a:schemeClr>
          </a:duotone>
          <a:extLst>
            <a:ext uri="{28A0092B-C50C-407E-A947-70E740481C1C}">
              <a14:useLocalDpi xmlns:a14="http://schemas.microsoft.com/office/drawing/2010/main" val="0"/>
            </a:ext>
          </a:extLst>
        </a:blip>
        <a:stretch>
          <a:fillRect/>
        </a:stretch>
      </xdr:blipFill>
      <xdr:spPr>
        <a:xfrm>
          <a:off x="5524500" y="32772879"/>
          <a:ext cx="771525" cy="750094"/>
        </a:xfrm>
        <a:prstGeom prst="rect">
          <a:avLst/>
        </a:prstGeom>
      </xdr:spPr>
    </xdr:pic>
    <xdr:clientData/>
  </xdr:twoCellAnchor>
  <xdr:twoCellAnchor editAs="oneCell">
    <xdr:from>
      <xdr:col>1</xdr:col>
      <xdr:colOff>0</xdr:colOff>
      <xdr:row>112</xdr:row>
      <xdr:rowOff>654639</xdr:rowOff>
    </xdr:from>
    <xdr:to>
      <xdr:col>15</xdr:col>
      <xdr:colOff>52371</xdr:colOff>
      <xdr:row>128</xdr:row>
      <xdr:rowOff>19050</xdr:rowOff>
    </xdr:to>
    <xdr:grpSp>
      <xdr:nvGrpSpPr>
        <xdr:cNvPr id="62" name="Gruppo 61" descr="Blocco della stagione con immagine e note">
          <a:extLst>
            <a:ext uri="{FF2B5EF4-FFF2-40B4-BE49-F238E27FC236}">
              <a16:creationId xmlns:a16="http://schemas.microsoft.com/office/drawing/2014/main" id="{00000000-0008-0000-0000-00003E000000}"/>
            </a:ext>
          </a:extLst>
        </xdr:cNvPr>
        <xdr:cNvGrpSpPr/>
      </xdr:nvGrpSpPr>
      <xdr:grpSpPr>
        <a:xfrm>
          <a:off x="315576" y="30318760"/>
          <a:ext cx="9127098" cy="3628532"/>
          <a:chOff x="323850" y="44443649"/>
          <a:chExt cx="8756035" cy="3562351"/>
        </a:xfrm>
      </xdr:grpSpPr>
      <xdr:sp macro="" textlink="">
        <xdr:nvSpPr>
          <xdr:cNvPr id="19" name="Rettangolo 18" descr="Blocco verde che rappresenta la primavera">
            <a:extLst>
              <a:ext uri="{FF2B5EF4-FFF2-40B4-BE49-F238E27FC236}">
                <a16:creationId xmlns:a16="http://schemas.microsoft.com/office/drawing/2014/main" id="{00000000-0008-0000-0000-000013000000}"/>
              </a:ext>
            </a:extLst>
          </xdr:cNvPr>
          <xdr:cNvSpPr/>
        </xdr:nvSpPr>
        <xdr:spPr>
          <a:xfrm>
            <a:off x="323850" y="44443649"/>
            <a:ext cx="8756035" cy="3562351"/>
          </a:xfrm>
          <a:prstGeom prst="rect">
            <a:avLst/>
          </a:prstGeom>
          <a:gradFill>
            <a:gsLst>
              <a:gs pos="0">
                <a:schemeClr val="accent2"/>
              </a:gs>
              <a:gs pos="52000">
                <a:schemeClr val="accent2">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20" name="Immagin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7"/>
          <a:srcRect/>
          <a:stretch/>
        </xdr:blipFill>
        <xdr:spPr>
          <a:xfrm>
            <a:off x="595546" y="44563464"/>
            <a:ext cx="4915235" cy="3325277"/>
          </a:xfrm>
          <a:prstGeom prst="rect">
            <a:avLst/>
          </a:prstGeom>
          <a:ln w="88900" cap="sq" cmpd="sng">
            <a:solidFill>
              <a:schemeClr val="bg1"/>
            </a:solidFill>
            <a:prstDash val="solid"/>
            <a:miter lim="800000"/>
          </a:ln>
          <a:effectLst>
            <a:innerShdw blurRad="114300">
              <a:prstClr val="black"/>
            </a:innerShdw>
          </a:effectLst>
        </xdr:spPr>
      </xdr:pic>
      <xdr:sp macro="" textlink="J114">
        <xdr:nvSpPr>
          <xdr:cNvPr id="21" name="CasellaDiTesto 20" descr="Note">
            <a:extLst>
              <a:ext uri="{FF2B5EF4-FFF2-40B4-BE49-F238E27FC236}">
                <a16:creationId xmlns:a16="http://schemas.microsoft.com/office/drawing/2014/main" id="{00000000-0008-0000-0000-000015000000}"/>
              </a:ext>
            </a:extLst>
          </xdr:cNvPr>
          <xdr:cNvSpPr txBox="1"/>
        </xdr:nvSpPr>
        <xdr:spPr>
          <a:xfrm>
            <a:off x="6357590" y="44637157"/>
            <a:ext cx="2020824" cy="31638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A63D5E41-5658-4F5B-8AB7-7203663C3E8B}" type="TxLink">
              <a:rPr lang="en-US" sz="1200" b="0" i="0" u="none" strike="noStrike">
                <a:solidFill>
                  <a:srgbClr val="FFFFFF"/>
                </a:solidFill>
                <a:latin typeface="Cambria" panose="02040503050406030204" pitchFamily="18" charset="0"/>
              </a:rPr>
              <a:pPr algn="ctr" rtl="0"/>
              <a:t>NOTE
</a:t>
            </a:fld>
            <a:r>
              <a:rPr lang="en-US" sz="1200" b="0" i="0" u="none" strike="noStrike">
                <a:solidFill>
                  <a:srgbClr val="FFFFFF"/>
                </a:solidFill>
                <a:latin typeface="Cambria" panose="02040503050406030204" pitchFamily="18" charset="0"/>
              </a:rPr>
              <a:t>1 E 2 CRONACHE</a:t>
            </a:r>
          </a:p>
          <a:p>
            <a:pPr algn="ctr" rtl="0"/>
            <a:endParaRPr lang="en-US" sz="1200" b="0" i="0" u="none" strike="noStrike">
              <a:solidFill>
                <a:srgbClr val="FFFFFF"/>
              </a:solidFill>
              <a:latin typeface="Cambria" panose="02040503050406030204" pitchFamily="18" charset="0"/>
            </a:endParaRPr>
          </a:p>
          <a:p>
            <a:pPr algn="ctr" rtl="0"/>
            <a:r>
              <a:rPr lang="en-US" sz="1200" b="0" i="0" u="none" strike="noStrike">
                <a:solidFill>
                  <a:srgbClr val="FFFFFF"/>
                </a:solidFill>
                <a:latin typeface="Cambria" panose="02040503050406030204" pitchFamily="18" charset="0"/>
              </a:rPr>
              <a:t>Presenta</a:t>
            </a:r>
            <a:r>
              <a:rPr lang="en-US" sz="1200" b="0" i="0" u="none" strike="noStrike" baseline="0">
                <a:solidFill>
                  <a:srgbClr val="FFFFFF"/>
                </a:solidFill>
                <a:latin typeface="Cambria" panose="02040503050406030204" pitchFamily="18" charset="0"/>
              </a:rPr>
              <a:t> Gesù quale Re.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2 Cronache 7:14</a:t>
            </a:r>
            <a:endParaRPr lang="en-US" sz="1200">
              <a:solidFill>
                <a:schemeClr val="bg1"/>
              </a:solidFill>
              <a:latin typeface="Cambria" panose="02040503050406030204" pitchFamily="18" charset="0"/>
            </a:endParaRPr>
          </a:p>
        </xdr:txBody>
      </xdr:sp>
    </xdr:grpSp>
    <xdr:clientData/>
  </xdr:twoCellAnchor>
  <xdr:twoCellAnchor editAs="oneCell">
    <xdr:from>
      <xdr:col>11</xdr:col>
      <xdr:colOff>123826</xdr:colOff>
      <xdr:row>140</xdr:row>
      <xdr:rowOff>81699</xdr:rowOff>
    </xdr:from>
    <xdr:to>
      <xdr:col>11</xdr:col>
      <xdr:colOff>733425</xdr:colOff>
      <xdr:row>142</xdr:row>
      <xdr:rowOff>161923</xdr:rowOff>
    </xdr:to>
    <xdr:pic>
      <xdr:nvPicPr>
        <xdr:cNvPr id="22" name="Immagine 21" descr="Palma">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8">
          <a:duotone>
            <a:schemeClr val="accent3">
              <a:shade val="45000"/>
              <a:satMod val="135000"/>
            </a:schemeClr>
            <a:prstClr val="white"/>
          </a:duotone>
          <a:extLst>
            <a:ext uri="{28A0092B-C50C-407E-A947-70E740481C1C}">
              <a14:useLocalDpi xmlns:a14="http://schemas.microsoft.com/office/drawing/2010/main" val="0"/>
            </a:ext>
          </a:extLst>
        </a:blip>
        <a:stretch>
          <a:fillRect/>
        </a:stretch>
      </xdr:blipFill>
      <xdr:spPr>
        <a:xfrm>
          <a:off x="6257926" y="54698049"/>
          <a:ext cx="609599" cy="1004150"/>
        </a:xfrm>
        <a:prstGeom prst="rect">
          <a:avLst/>
        </a:prstGeom>
        <a:noFill/>
        <a:ln>
          <a:noFill/>
        </a:ln>
      </xdr:spPr>
    </xdr:pic>
    <xdr:clientData/>
  </xdr:twoCellAnchor>
  <xdr:twoCellAnchor editAs="oneCell">
    <xdr:from>
      <xdr:col>1</xdr:col>
      <xdr:colOff>0</xdr:colOff>
      <xdr:row>140</xdr:row>
      <xdr:rowOff>641548</xdr:rowOff>
    </xdr:from>
    <xdr:to>
      <xdr:col>15</xdr:col>
      <xdr:colOff>39278</xdr:colOff>
      <xdr:row>154</xdr:row>
      <xdr:rowOff>78557</xdr:rowOff>
    </xdr:to>
    <xdr:grpSp>
      <xdr:nvGrpSpPr>
        <xdr:cNvPr id="50" name="Gruppo 49" descr="Blocco della stagione con immagine e note">
          <a:extLst>
            <a:ext uri="{FF2B5EF4-FFF2-40B4-BE49-F238E27FC236}">
              <a16:creationId xmlns:a16="http://schemas.microsoft.com/office/drawing/2014/main" id="{00000000-0008-0000-0000-000032000000}"/>
            </a:ext>
          </a:extLst>
        </xdr:cNvPr>
        <xdr:cNvGrpSpPr/>
      </xdr:nvGrpSpPr>
      <xdr:grpSpPr>
        <a:xfrm>
          <a:off x="315576" y="37617790"/>
          <a:ext cx="9114005" cy="3223919"/>
          <a:chOff x="323850" y="55330724"/>
          <a:chExt cx="8756035" cy="3562351"/>
        </a:xfrm>
      </xdr:grpSpPr>
      <xdr:sp macro="" textlink="">
        <xdr:nvSpPr>
          <xdr:cNvPr id="23" name="Rettangolo 22" descr="Blocco giallo che rappresenta l’estate">
            <a:extLst>
              <a:ext uri="{FF2B5EF4-FFF2-40B4-BE49-F238E27FC236}">
                <a16:creationId xmlns:a16="http://schemas.microsoft.com/office/drawing/2014/main" id="{00000000-0008-0000-0000-000017000000}"/>
              </a:ext>
            </a:extLst>
          </xdr:cNvPr>
          <xdr:cNvSpPr/>
        </xdr:nvSpPr>
        <xdr:spPr>
          <a:xfrm>
            <a:off x="323850" y="55330724"/>
            <a:ext cx="8756035" cy="3562351"/>
          </a:xfrm>
          <a:prstGeom prst="rect">
            <a:avLst/>
          </a:prstGeom>
          <a:gradFill>
            <a:gsLst>
              <a:gs pos="0">
                <a:schemeClr val="accent3">
                  <a:lumMod val="50000"/>
                </a:schemeClr>
              </a:gs>
              <a:gs pos="52000">
                <a:schemeClr val="accent3"/>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24" name="Immagin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9"/>
          <a:srcRect/>
          <a:stretch/>
        </xdr:blipFill>
        <xdr:spPr>
          <a:xfrm>
            <a:off x="542797" y="55471918"/>
            <a:ext cx="4743859" cy="3243005"/>
          </a:xfrm>
          <a:prstGeom prst="rect">
            <a:avLst/>
          </a:prstGeom>
          <a:ln w="88900" cap="sq" cmpd="sng">
            <a:solidFill>
              <a:schemeClr val="bg1"/>
            </a:solidFill>
            <a:prstDash val="solid"/>
            <a:miter lim="800000"/>
          </a:ln>
          <a:effectLst>
            <a:innerShdw blurRad="114300">
              <a:prstClr val="black"/>
            </a:innerShdw>
          </a:effectLst>
        </xdr:spPr>
      </xdr:pic>
      <xdr:sp macro="" textlink="J142">
        <xdr:nvSpPr>
          <xdr:cNvPr id="25" name="CasellaDiTesto 24" descr="Note">
            <a:extLst>
              <a:ext uri="{FF2B5EF4-FFF2-40B4-BE49-F238E27FC236}">
                <a16:creationId xmlns:a16="http://schemas.microsoft.com/office/drawing/2014/main" id="{00000000-0008-0000-0000-000019000000}"/>
              </a:ext>
            </a:extLst>
          </xdr:cNvPr>
          <xdr:cNvSpPr txBox="1"/>
        </xdr:nvSpPr>
        <xdr:spPr>
          <a:xfrm>
            <a:off x="5237478" y="55455556"/>
            <a:ext cx="2020824" cy="33235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EADE9B4F-7C73-4434-8AA5-DEDA9E37EACA}" type="TxLink">
              <a:rPr lang="en-US" sz="1200" b="0" i="0" u="none" strike="noStrike">
                <a:solidFill>
                  <a:schemeClr val="bg1"/>
                </a:solidFill>
                <a:latin typeface="Cambria" panose="02040503050406030204" pitchFamily="18" charset="0"/>
              </a:rPr>
              <a:pPr algn="ctr" rtl="0"/>
              <a:t>NOTE
</a:t>
            </a:fld>
            <a:r>
              <a:rPr lang="en-US" sz="1200" b="0" i="0" u="none" strike="noStrike">
                <a:solidFill>
                  <a:schemeClr val="bg1"/>
                </a:solidFill>
                <a:latin typeface="Cambria" panose="02040503050406030204" pitchFamily="18" charset="0"/>
              </a:rPr>
              <a:t>ESDRA</a:t>
            </a:r>
          </a:p>
          <a:p>
            <a:pPr algn="ctr" rtl="0"/>
            <a:r>
              <a:rPr lang="en-US" sz="1200" b="0" i="0" u="none" strike="noStrike">
                <a:solidFill>
                  <a:schemeClr val="bg1"/>
                </a:solidFill>
                <a:latin typeface="Cambria" panose="02040503050406030204" pitchFamily="18" charset="0"/>
              </a:rPr>
              <a:t>L'Eterno</a:t>
            </a:r>
            <a:r>
              <a:rPr lang="en-US" sz="1200" b="0" i="0" u="none" strike="noStrike" baseline="0">
                <a:solidFill>
                  <a:schemeClr val="bg1"/>
                </a:solidFill>
                <a:latin typeface="Cambria" panose="02040503050406030204" pitchFamily="18" charset="0"/>
              </a:rPr>
              <a:t> Aiuta </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Presenta Gesù quale </a:t>
            </a:r>
          </a:p>
          <a:p>
            <a:pPr algn="ctr" rtl="0"/>
            <a:r>
              <a:rPr lang="en-US" sz="1200" b="0" i="0" u="none" strike="noStrike" baseline="0">
                <a:solidFill>
                  <a:schemeClr val="bg1"/>
                </a:solidFill>
                <a:latin typeface="Cambria" panose="02040503050406030204" pitchFamily="18" charset="0"/>
              </a:rPr>
              <a:t>Nostro Restauratore</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Verso Chiave: Esdra 7:10</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NEEMIA</a:t>
            </a:r>
          </a:p>
          <a:p>
            <a:pPr algn="ctr" rtl="0"/>
            <a:r>
              <a:rPr lang="en-US" sz="1200" b="0" i="0" u="none" strike="noStrike" baseline="0">
                <a:solidFill>
                  <a:schemeClr val="bg1"/>
                </a:solidFill>
                <a:latin typeface="Cambria" panose="02040503050406030204" pitchFamily="18" charset="0"/>
              </a:rPr>
              <a:t>Consolato dall'Eterno</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Presenta Gesù quale </a:t>
            </a:r>
          </a:p>
          <a:p>
            <a:pPr algn="ctr" rtl="0"/>
            <a:r>
              <a:rPr lang="en-US" sz="1200" b="0" i="0" u="none" strike="noStrike" baseline="0">
                <a:solidFill>
                  <a:schemeClr val="bg1"/>
                </a:solidFill>
                <a:latin typeface="Cambria" panose="02040503050406030204" pitchFamily="18" charset="0"/>
              </a:rPr>
              <a:t>Nostro Restauratore</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Verso Chiave: Neemia 2:20</a:t>
            </a:r>
            <a:endParaRPr lang="en-US" sz="1200" b="0" i="0" u="none" strike="noStrike">
              <a:solidFill>
                <a:schemeClr val="bg1"/>
              </a:solidFill>
              <a:latin typeface="Cambria" panose="02040503050406030204" pitchFamily="18" charset="0"/>
            </a:endParaRPr>
          </a:p>
          <a:p>
            <a:pPr algn="ctr" rtl="0"/>
            <a:endParaRPr lang="en-US" sz="1200">
              <a:solidFill>
                <a:schemeClr val="bg1"/>
              </a:solidFill>
              <a:latin typeface="Cambria" panose="02040503050406030204" pitchFamily="18" charset="0"/>
            </a:endParaRPr>
          </a:p>
        </xdr:txBody>
      </xdr:sp>
    </xdr:grpSp>
    <xdr:clientData/>
  </xdr:twoCellAnchor>
  <xdr:twoCellAnchor editAs="oneCell">
    <xdr:from>
      <xdr:col>11</xdr:col>
      <xdr:colOff>123826</xdr:colOff>
      <xdr:row>166</xdr:row>
      <xdr:rowOff>81699</xdr:rowOff>
    </xdr:from>
    <xdr:to>
      <xdr:col>11</xdr:col>
      <xdr:colOff>733425</xdr:colOff>
      <xdr:row>168</xdr:row>
      <xdr:rowOff>146531</xdr:rowOff>
    </xdr:to>
    <xdr:pic>
      <xdr:nvPicPr>
        <xdr:cNvPr id="26" name="Immagine 25" descr="Palma">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8">
          <a:duotone>
            <a:schemeClr val="accent3">
              <a:shade val="45000"/>
              <a:satMod val="135000"/>
            </a:schemeClr>
            <a:prstClr val="white"/>
          </a:duotone>
          <a:extLst>
            <a:ext uri="{28A0092B-C50C-407E-A947-70E740481C1C}">
              <a14:useLocalDpi xmlns:a14="http://schemas.microsoft.com/office/drawing/2010/main" val="0"/>
            </a:ext>
          </a:extLst>
        </a:blip>
        <a:stretch>
          <a:fillRect/>
        </a:stretch>
      </xdr:blipFill>
      <xdr:spPr>
        <a:xfrm>
          <a:off x="5638801" y="54097974"/>
          <a:ext cx="609599" cy="956525"/>
        </a:xfrm>
        <a:prstGeom prst="rect">
          <a:avLst/>
        </a:prstGeom>
      </xdr:spPr>
    </xdr:pic>
    <xdr:clientData/>
  </xdr:twoCellAnchor>
  <xdr:twoCellAnchor editAs="oneCell">
    <xdr:from>
      <xdr:col>1</xdr:col>
      <xdr:colOff>0</xdr:colOff>
      <xdr:row>167</xdr:row>
      <xdr:rowOff>26186</xdr:rowOff>
    </xdr:from>
    <xdr:to>
      <xdr:col>15</xdr:col>
      <xdr:colOff>26185</xdr:colOff>
      <xdr:row>180</xdr:row>
      <xdr:rowOff>39279</xdr:rowOff>
    </xdr:to>
    <xdr:grpSp>
      <xdr:nvGrpSpPr>
        <xdr:cNvPr id="51" name="Gruppo 50" descr="Blocco della stagione con immagine e note">
          <a:extLst>
            <a:ext uri="{FF2B5EF4-FFF2-40B4-BE49-F238E27FC236}">
              <a16:creationId xmlns:a16="http://schemas.microsoft.com/office/drawing/2014/main" id="{00000000-0008-0000-0000-000033000000}"/>
            </a:ext>
          </a:extLst>
        </xdr:cNvPr>
        <xdr:cNvGrpSpPr/>
      </xdr:nvGrpSpPr>
      <xdr:grpSpPr>
        <a:xfrm>
          <a:off x="315576" y="44938004"/>
          <a:ext cx="9100912" cy="3114972"/>
          <a:chOff x="323850" y="66217799"/>
          <a:chExt cx="8742107" cy="3562351"/>
        </a:xfrm>
      </xdr:grpSpPr>
      <xdr:sp macro="" textlink="">
        <xdr:nvSpPr>
          <xdr:cNvPr id="27" name="Rettangolo 26" descr="Blocco giallo che rappresenta l’estate">
            <a:extLst>
              <a:ext uri="{FF2B5EF4-FFF2-40B4-BE49-F238E27FC236}">
                <a16:creationId xmlns:a16="http://schemas.microsoft.com/office/drawing/2014/main" id="{00000000-0008-0000-0000-00001B000000}"/>
              </a:ext>
            </a:extLst>
          </xdr:cNvPr>
          <xdr:cNvSpPr/>
        </xdr:nvSpPr>
        <xdr:spPr>
          <a:xfrm>
            <a:off x="323850" y="66217799"/>
            <a:ext cx="8742107" cy="3562351"/>
          </a:xfrm>
          <a:prstGeom prst="rect">
            <a:avLst/>
          </a:prstGeom>
          <a:gradFill>
            <a:gsLst>
              <a:gs pos="0">
                <a:schemeClr val="accent3">
                  <a:lumMod val="50000"/>
                </a:schemeClr>
              </a:gs>
              <a:gs pos="52000">
                <a:schemeClr val="accent3"/>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28" name="Immagin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0"/>
          <a:srcRect/>
          <a:stretch/>
        </xdr:blipFill>
        <xdr:spPr>
          <a:xfrm>
            <a:off x="592485" y="66359229"/>
            <a:ext cx="4823258" cy="3255822"/>
          </a:xfrm>
          <a:prstGeom prst="rect">
            <a:avLst/>
          </a:prstGeom>
          <a:ln w="88900" cap="sq" cmpd="sng">
            <a:solidFill>
              <a:schemeClr val="bg1"/>
            </a:solidFill>
            <a:prstDash val="solid"/>
            <a:miter lim="800000"/>
          </a:ln>
          <a:effectLst>
            <a:innerShdw blurRad="114300">
              <a:prstClr val="black"/>
            </a:innerShdw>
          </a:effectLst>
        </xdr:spPr>
      </xdr:pic>
      <xdr:sp macro="" textlink="K168">
        <xdr:nvSpPr>
          <xdr:cNvPr id="29" name="CasellaDiTesto 28" descr="Note">
            <a:extLst>
              <a:ext uri="{FF2B5EF4-FFF2-40B4-BE49-F238E27FC236}">
                <a16:creationId xmlns:a16="http://schemas.microsoft.com/office/drawing/2014/main" id="{00000000-0008-0000-0000-00001D000000}"/>
              </a:ext>
            </a:extLst>
          </xdr:cNvPr>
          <xdr:cNvSpPr txBox="1"/>
        </xdr:nvSpPr>
        <xdr:spPr>
          <a:xfrm>
            <a:off x="6343174" y="66349973"/>
            <a:ext cx="2020824" cy="32937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E6339B14-5C03-4889-9D75-38DCDE726D19}" type="TxLink">
              <a:rPr lang="en-US" sz="1200" b="0" i="0" u="none" strike="noStrike">
                <a:solidFill>
                  <a:schemeClr val="bg1"/>
                </a:solidFill>
                <a:latin typeface="Cambria" panose="02040503050406030204" pitchFamily="18" charset="0"/>
              </a:rPr>
              <a:pPr algn="ctr" rtl="0"/>
              <a:t>NOTE
</a:t>
            </a:fld>
            <a:r>
              <a:rPr lang="en-US" sz="1200" b="0" i="0" u="none" strike="noStrike">
                <a:solidFill>
                  <a:schemeClr val="bg1"/>
                </a:solidFill>
                <a:latin typeface="Cambria" panose="02040503050406030204" pitchFamily="18" charset="0"/>
              </a:rPr>
              <a:t>SALMI</a:t>
            </a:r>
          </a:p>
          <a:p>
            <a:pPr algn="ctr" rtl="0"/>
            <a:r>
              <a:rPr lang="en-US" sz="1200" b="0" i="0" u="none" strike="noStrike">
                <a:solidFill>
                  <a:schemeClr val="bg1"/>
                </a:solidFill>
                <a:latin typeface="Cambria" panose="02040503050406030204" pitchFamily="18" charset="0"/>
              </a:rPr>
              <a:t>Cantici</a:t>
            </a:r>
            <a:r>
              <a:rPr lang="en-US" sz="1200" b="0" i="0" u="none" strike="noStrike" baseline="0">
                <a:solidFill>
                  <a:schemeClr val="bg1"/>
                </a:solidFill>
                <a:latin typeface="Cambria" panose="02040503050406030204" pitchFamily="18" charset="0"/>
              </a:rPr>
              <a:t>, Inni, Lodi</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Presenta Gesù quale Nostro Tutto in ogni cosa</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Libro Primo - Salmi 1-41</a:t>
            </a:r>
          </a:p>
          <a:p>
            <a:pPr algn="ctr" rtl="0"/>
            <a:r>
              <a:rPr lang="en-US" sz="1200" b="0" i="0" u="none" strike="noStrike" baseline="0">
                <a:solidFill>
                  <a:schemeClr val="bg1"/>
                </a:solidFill>
                <a:latin typeface="Cambria" panose="02040503050406030204" pitchFamily="18" charset="0"/>
              </a:rPr>
              <a:t>Libro Secondo, Salmi 42-72</a:t>
            </a:r>
          </a:p>
          <a:p>
            <a:pPr algn="ctr" rtl="0"/>
            <a:r>
              <a:rPr lang="en-US" sz="1200" b="0" i="0" u="none" strike="noStrike" baseline="0">
                <a:solidFill>
                  <a:schemeClr val="bg1"/>
                </a:solidFill>
                <a:latin typeface="Cambria" panose="02040503050406030204" pitchFamily="18" charset="0"/>
              </a:rPr>
              <a:t>Libro Terzo,  Salmi 73-89</a:t>
            </a:r>
          </a:p>
          <a:p>
            <a:pPr algn="ctr" rtl="0"/>
            <a:r>
              <a:rPr lang="en-US" sz="1200" b="0" i="0" u="none" strike="noStrike" baseline="0">
                <a:solidFill>
                  <a:schemeClr val="bg1"/>
                </a:solidFill>
                <a:latin typeface="Cambria" panose="02040503050406030204" pitchFamily="18" charset="0"/>
              </a:rPr>
              <a:t>Libro Quarto, Salmi 90-106</a:t>
            </a:r>
          </a:p>
          <a:p>
            <a:pPr algn="ctr" rtl="0"/>
            <a:r>
              <a:rPr lang="en-US" sz="1200" b="0" i="0" u="none" strike="noStrike" baseline="0">
                <a:solidFill>
                  <a:schemeClr val="bg1"/>
                </a:solidFill>
                <a:latin typeface="Cambria" panose="02040503050406030204" pitchFamily="18" charset="0"/>
              </a:rPr>
              <a:t>Libro Quinto 107-150</a:t>
            </a:r>
          </a:p>
          <a:p>
            <a:pPr algn="ctr" rtl="0"/>
            <a:endParaRPr lang="en-US" sz="1200" b="0" i="0" u="none" strike="noStrike" baseline="0">
              <a:solidFill>
                <a:schemeClr val="bg1"/>
              </a:solidFill>
              <a:latin typeface="Cambria" panose="02040503050406030204" pitchFamily="18" charset="0"/>
            </a:endParaRPr>
          </a:p>
          <a:p>
            <a:pPr algn="ctr" rtl="0"/>
            <a:r>
              <a:rPr lang="it-IT" sz="1200"/>
              <a:t>Ogni</a:t>
            </a:r>
            <a:r>
              <a:rPr lang="it-IT" sz="1200" baseline="0"/>
              <a:t> Libro</a:t>
            </a:r>
            <a:r>
              <a:rPr lang="it-IT" sz="1200"/>
              <a:t> termina con una benedizione o</a:t>
            </a:r>
            <a:r>
              <a:rPr lang="it-IT" sz="1200" baseline="0"/>
              <a:t> dossologia.</a:t>
            </a:r>
            <a:endParaRPr lang="en-US" sz="1200">
              <a:solidFill>
                <a:schemeClr val="bg1"/>
              </a:solidFill>
              <a:latin typeface="Cambria" panose="02040503050406030204" pitchFamily="18" charset="0"/>
            </a:endParaRPr>
          </a:p>
        </xdr:txBody>
      </xdr:sp>
    </xdr:grpSp>
    <xdr:clientData/>
  </xdr:twoCellAnchor>
  <xdr:twoCellAnchor editAs="oneCell">
    <xdr:from>
      <xdr:col>11</xdr:col>
      <xdr:colOff>123826</xdr:colOff>
      <xdr:row>192</xdr:row>
      <xdr:rowOff>81699</xdr:rowOff>
    </xdr:from>
    <xdr:to>
      <xdr:col>11</xdr:col>
      <xdr:colOff>733425</xdr:colOff>
      <xdr:row>194</xdr:row>
      <xdr:rowOff>161924</xdr:rowOff>
    </xdr:to>
    <xdr:pic>
      <xdr:nvPicPr>
        <xdr:cNvPr id="30" name="Immagine 29" descr="Palma">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8">
          <a:duotone>
            <a:schemeClr val="accent3">
              <a:shade val="45000"/>
              <a:satMod val="135000"/>
            </a:schemeClr>
            <a:prstClr val="white"/>
          </a:duotone>
          <a:extLst>
            <a:ext uri="{28A0092B-C50C-407E-A947-70E740481C1C}">
              <a14:useLocalDpi xmlns:a14="http://schemas.microsoft.com/office/drawing/2010/main" val="0"/>
            </a:ext>
          </a:extLst>
        </a:blip>
        <a:stretch>
          <a:fillRect/>
        </a:stretch>
      </xdr:blipFill>
      <xdr:spPr>
        <a:xfrm>
          <a:off x="5638801" y="54097974"/>
          <a:ext cx="609599" cy="956525"/>
        </a:xfrm>
        <a:prstGeom prst="rect">
          <a:avLst/>
        </a:prstGeom>
      </xdr:spPr>
    </xdr:pic>
    <xdr:clientData/>
  </xdr:twoCellAnchor>
  <xdr:twoCellAnchor editAs="oneCell">
    <xdr:from>
      <xdr:col>1</xdr:col>
      <xdr:colOff>1</xdr:colOff>
      <xdr:row>192</xdr:row>
      <xdr:rowOff>589176</xdr:rowOff>
    </xdr:from>
    <xdr:to>
      <xdr:col>15</xdr:col>
      <xdr:colOff>13093</xdr:colOff>
      <xdr:row>207</xdr:row>
      <xdr:rowOff>13094</xdr:rowOff>
    </xdr:to>
    <xdr:grpSp>
      <xdr:nvGrpSpPr>
        <xdr:cNvPr id="53" name="Gruppo 52" descr="Blocco della stagione con immagine e note">
          <a:extLst>
            <a:ext uri="{FF2B5EF4-FFF2-40B4-BE49-F238E27FC236}">
              <a16:creationId xmlns:a16="http://schemas.microsoft.com/office/drawing/2014/main" id="{00000000-0008-0000-0000-000035000000}"/>
            </a:ext>
          </a:extLst>
        </xdr:cNvPr>
        <xdr:cNvGrpSpPr/>
      </xdr:nvGrpSpPr>
      <xdr:grpSpPr>
        <a:xfrm>
          <a:off x="315577" y="52228146"/>
          <a:ext cx="9087819" cy="3449433"/>
          <a:chOff x="323850" y="77104874"/>
          <a:chExt cx="8742107" cy="3562351"/>
        </a:xfrm>
      </xdr:grpSpPr>
      <xdr:sp macro="" textlink="">
        <xdr:nvSpPr>
          <xdr:cNvPr id="31" name="Rettangolo 30" descr="Blocco giallo che rappresenta l’estate">
            <a:extLst>
              <a:ext uri="{FF2B5EF4-FFF2-40B4-BE49-F238E27FC236}">
                <a16:creationId xmlns:a16="http://schemas.microsoft.com/office/drawing/2014/main" id="{00000000-0008-0000-0000-00001F000000}"/>
              </a:ext>
            </a:extLst>
          </xdr:cNvPr>
          <xdr:cNvSpPr/>
        </xdr:nvSpPr>
        <xdr:spPr>
          <a:xfrm>
            <a:off x="323850" y="77104874"/>
            <a:ext cx="8742107" cy="3562351"/>
          </a:xfrm>
          <a:prstGeom prst="rect">
            <a:avLst/>
          </a:prstGeom>
          <a:gradFill>
            <a:gsLst>
              <a:gs pos="0">
                <a:schemeClr val="accent3">
                  <a:lumMod val="50000"/>
                </a:schemeClr>
              </a:gs>
              <a:gs pos="52000">
                <a:schemeClr val="accent3"/>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32" name="Immagin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1"/>
          <a:srcRect/>
          <a:stretch/>
        </xdr:blipFill>
        <xdr:spPr>
          <a:xfrm>
            <a:off x="531138" y="77280327"/>
            <a:ext cx="4751685" cy="3207508"/>
          </a:xfrm>
          <a:prstGeom prst="rect">
            <a:avLst/>
          </a:prstGeom>
          <a:ln w="88900" cap="sq" cmpd="sng">
            <a:solidFill>
              <a:schemeClr val="bg1"/>
            </a:solidFill>
            <a:prstDash val="solid"/>
            <a:miter lim="800000"/>
          </a:ln>
          <a:effectLst>
            <a:innerShdw blurRad="114300">
              <a:prstClr val="black"/>
            </a:innerShdw>
          </a:effectLst>
        </xdr:spPr>
      </xdr:pic>
      <xdr:sp macro="" textlink="K194">
        <xdr:nvSpPr>
          <xdr:cNvPr id="33" name="CasellaDiTesto 32" descr="Note">
            <a:extLst>
              <a:ext uri="{FF2B5EF4-FFF2-40B4-BE49-F238E27FC236}">
                <a16:creationId xmlns:a16="http://schemas.microsoft.com/office/drawing/2014/main" id="{00000000-0008-0000-0000-000021000000}"/>
              </a:ext>
            </a:extLst>
          </xdr:cNvPr>
          <xdr:cNvSpPr txBox="1"/>
        </xdr:nvSpPr>
        <xdr:spPr>
          <a:xfrm>
            <a:off x="5401804" y="77306555"/>
            <a:ext cx="2042197" cy="33041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5E8F4CCB-EDF6-496A-A76F-D4E9E2B7D90E}" type="TxLink">
              <a:rPr lang="en-US" sz="1200" b="0" i="0" u="none" strike="noStrike">
                <a:solidFill>
                  <a:srgbClr val="FFFFFF"/>
                </a:solidFill>
                <a:latin typeface="Cambria" panose="02040503050406030204" pitchFamily="18" charset="0"/>
              </a:rPr>
              <a:pPr algn="ctr" rtl="0"/>
              <a:t>NOTE
</a:t>
            </a:fld>
            <a:r>
              <a:rPr lang="en-US" sz="1200" b="0" i="0" u="none" strike="noStrike">
                <a:solidFill>
                  <a:srgbClr val="FFFFFF"/>
                </a:solidFill>
                <a:latin typeface="Cambria" panose="02040503050406030204" pitchFamily="18" charset="0"/>
              </a:rPr>
              <a:t>PROVERBI</a:t>
            </a:r>
          </a:p>
          <a:p>
            <a:pPr algn="ctr" rtl="0"/>
            <a:r>
              <a:rPr lang="en-US" sz="1200" b="0" i="0" u="none" strike="noStrike">
                <a:solidFill>
                  <a:srgbClr val="FFFFFF"/>
                </a:solidFill>
                <a:latin typeface="Cambria" panose="02040503050406030204" pitchFamily="18" charset="0"/>
              </a:rPr>
              <a:t>Massime o Detti Sapienti</a:t>
            </a:r>
          </a:p>
          <a:p>
            <a:pPr algn="ctr" rtl="0"/>
            <a:endParaRPr lang="en-US" sz="1200" b="0" i="0" u="none" strike="noStrike">
              <a:solidFill>
                <a:srgbClr val="FFFFFF"/>
              </a:solidFill>
              <a:latin typeface="Cambria" panose="02040503050406030204" pitchFamily="18" charset="0"/>
            </a:endParaRPr>
          </a:p>
          <a:p>
            <a:pPr algn="ctr" rtl="0"/>
            <a:r>
              <a:rPr lang="en-US" sz="1200" b="0" i="0" u="none" strike="noStrike">
                <a:solidFill>
                  <a:srgbClr val="FFFFFF"/>
                </a:solidFill>
                <a:latin typeface="Cambria" panose="02040503050406030204" pitchFamily="18" charset="0"/>
              </a:rPr>
              <a:t>Presenta Gesù quale </a:t>
            </a:r>
          </a:p>
          <a:p>
            <a:pPr algn="ctr" rtl="0"/>
            <a:r>
              <a:rPr lang="en-US" sz="1200" b="0" i="0" u="none" strike="noStrike">
                <a:solidFill>
                  <a:srgbClr val="FFFFFF"/>
                </a:solidFill>
                <a:latin typeface="Cambria" panose="02040503050406030204" pitchFamily="18" charset="0"/>
              </a:rPr>
              <a:t>Nostra Sapienza</a:t>
            </a:r>
          </a:p>
          <a:p>
            <a:pPr algn="ctr" rtl="0"/>
            <a:endParaRPr lang="en-US" sz="1200" b="0" i="0" u="none" strike="noStrike">
              <a:solidFill>
                <a:srgbClr val="FFFFFF"/>
              </a:solidFill>
              <a:latin typeface="Cambria" panose="02040503050406030204" pitchFamily="18" charset="0"/>
            </a:endParaRPr>
          </a:p>
          <a:p>
            <a:pPr algn="ctr" rtl="0"/>
            <a:r>
              <a:rPr lang="en-US" sz="1200" b="0" i="0" u="none" strike="noStrike">
                <a:solidFill>
                  <a:srgbClr val="FFFFFF"/>
                </a:solidFill>
                <a:latin typeface="Cambria" panose="02040503050406030204" pitchFamily="18" charset="0"/>
              </a:rPr>
              <a:t>Verso Chiave: Proverbi</a:t>
            </a:r>
            <a:r>
              <a:rPr lang="en-US" sz="1200" b="0" i="0" u="none" strike="noStrike" baseline="0">
                <a:solidFill>
                  <a:srgbClr val="FFFFFF"/>
                </a:solidFill>
                <a:latin typeface="Cambria" panose="02040503050406030204" pitchFamily="18" charset="0"/>
              </a:rPr>
              <a:t> 9:10</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ECCLESIASTE</a:t>
            </a:r>
          </a:p>
          <a:p>
            <a:pPr algn="ctr" rtl="0"/>
            <a:r>
              <a:rPr lang="en-US" sz="1200" b="0" i="0" u="none" strike="noStrike" baseline="0">
                <a:solidFill>
                  <a:srgbClr val="FFFFFF"/>
                </a:solidFill>
                <a:latin typeface="Cambria" panose="02040503050406030204" pitchFamily="18" charset="0"/>
              </a:rPr>
              <a:t>Il Predicatore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scopo per ogni essere umano</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Ecclesiaste 12:15</a:t>
            </a:r>
            <a:r>
              <a:rPr lang="en-US" sz="1200" b="0" i="0" u="none" strike="noStrike">
                <a:solidFill>
                  <a:srgbClr val="FFFFFF"/>
                </a:solidFill>
                <a:latin typeface="Cambria" panose="02040503050406030204" pitchFamily="18" charset="0"/>
              </a:rPr>
              <a:t> </a:t>
            </a:r>
            <a:endParaRPr lang="en-US" sz="1200">
              <a:solidFill>
                <a:schemeClr val="bg1"/>
              </a:solidFill>
              <a:latin typeface="Cambria" panose="02040503050406030204" pitchFamily="18" charset="0"/>
            </a:endParaRPr>
          </a:p>
        </xdr:txBody>
      </xdr:sp>
    </xdr:grpSp>
    <xdr:clientData/>
  </xdr:twoCellAnchor>
  <xdr:twoCellAnchor editAs="oneCell">
    <xdr:from>
      <xdr:col>9</xdr:col>
      <xdr:colOff>509250</xdr:colOff>
      <xdr:row>219</xdr:row>
      <xdr:rowOff>337730</xdr:rowOff>
    </xdr:from>
    <xdr:to>
      <xdr:col>11</xdr:col>
      <xdr:colOff>518808</xdr:colOff>
      <xdr:row>221</xdr:row>
      <xdr:rowOff>175504</xdr:rowOff>
    </xdr:to>
    <xdr:pic>
      <xdr:nvPicPr>
        <xdr:cNvPr id="34" name="Immagine 33" descr="Foglie">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2">
          <a:duotone>
            <a:schemeClr val="accent4">
              <a:shade val="45000"/>
              <a:satMod val="135000"/>
            </a:schemeClr>
            <a:prstClr val="white"/>
          </a:duotone>
          <a:extLst>
            <a:ext uri="{28A0092B-C50C-407E-A947-70E740481C1C}">
              <a14:useLocalDpi xmlns:a14="http://schemas.microsoft.com/office/drawing/2010/main" val="0"/>
            </a:ext>
          </a:extLst>
        </a:blip>
        <a:stretch>
          <a:fillRect/>
        </a:stretch>
      </xdr:blipFill>
      <xdr:spPr>
        <a:xfrm>
          <a:off x="6258886" y="59050215"/>
          <a:ext cx="1333437" cy="869168"/>
        </a:xfrm>
        <a:prstGeom prst="rect">
          <a:avLst/>
        </a:prstGeom>
      </xdr:spPr>
    </xdr:pic>
    <xdr:clientData/>
  </xdr:twoCellAnchor>
  <xdr:twoCellAnchor editAs="oneCell">
    <xdr:from>
      <xdr:col>1</xdr:col>
      <xdr:colOff>0</xdr:colOff>
      <xdr:row>220</xdr:row>
      <xdr:rowOff>615361</xdr:rowOff>
    </xdr:from>
    <xdr:to>
      <xdr:col>15</xdr:col>
      <xdr:colOff>39278</xdr:colOff>
      <xdr:row>236</xdr:row>
      <xdr:rowOff>19051</xdr:rowOff>
    </xdr:to>
    <xdr:grpSp>
      <xdr:nvGrpSpPr>
        <xdr:cNvPr id="54" name="Gruppo 53" descr="Blocco della stagione con immagine e note">
          <a:extLst>
            <a:ext uri="{FF2B5EF4-FFF2-40B4-BE49-F238E27FC236}">
              <a16:creationId xmlns:a16="http://schemas.microsoft.com/office/drawing/2014/main" id="{00000000-0008-0000-0000-000036000000}"/>
            </a:ext>
          </a:extLst>
        </xdr:cNvPr>
        <xdr:cNvGrpSpPr/>
      </xdr:nvGrpSpPr>
      <xdr:grpSpPr>
        <a:xfrm>
          <a:off x="315576" y="59674209"/>
          <a:ext cx="9114005" cy="3667812"/>
          <a:chOff x="323850" y="87991949"/>
          <a:chExt cx="8752332" cy="3562351"/>
        </a:xfrm>
      </xdr:grpSpPr>
      <xdr:sp macro="" textlink="">
        <xdr:nvSpPr>
          <xdr:cNvPr id="35" name="Rettangolo 34" descr="Blocco marrone che rappresenta l’autunno">
            <a:extLst>
              <a:ext uri="{FF2B5EF4-FFF2-40B4-BE49-F238E27FC236}">
                <a16:creationId xmlns:a16="http://schemas.microsoft.com/office/drawing/2014/main" id="{00000000-0008-0000-0000-000023000000}"/>
              </a:ext>
            </a:extLst>
          </xdr:cNvPr>
          <xdr:cNvSpPr/>
        </xdr:nvSpPr>
        <xdr:spPr>
          <a:xfrm>
            <a:off x="323850" y="87991949"/>
            <a:ext cx="8752332" cy="3562351"/>
          </a:xfrm>
          <a:prstGeom prst="rect">
            <a:avLst/>
          </a:prstGeom>
          <a:gradFill>
            <a:gsLst>
              <a:gs pos="0">
                <a:schemeClr val="accent4">
                  <a:lumMod val="75000"/>
                </a:schemeClr>
              </a:gs>
              <a:gs pos="52000">
                <a:schemeClr val="accent4">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36" name="Immagin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3"/>
          <a:srcRect/>
          <a:stretch/>
        </xdr:blipFill>
        <xdr:spPr>
          <a:xfrm>
            <a:off x="572548" y="88117025"/>
            <a:ext cx="4894319" cy="3303789"/>
          </a:xfrm>
          <a:prstGeom prst="rect">
            <a:avLst/>
          </a:prstGeom>
          <a:ln w="88900" cap="sq" cmpd="sng">
            <a:solidFill>
              <a:schemeClr val="bg1"/>
            </a:solidFill>
            <a:prstDash val="solid"/>
            <a:miter lim="800000"/>
          </a:ln>
          <a:effectLst>
            <a:innerShdw blurRad="114300">
              <a:prstClr val="black"/>
            </a:innerShdw>
          </a:effectLst>
        </xdr:spPr>
      </xdr:pic>
      <xdr:sp macro="" textlink="K222">
        <xdr:nvSpPr>
          <xdr:cNvPr id="37" name="CasellaDiTesto 36" descr="Note">
            <a:extLst>
              <a:ext uri="{FF2B5EF4-FFF2-40B4-BE49-F238E27FC236}">
                <a16:creationId xmlns:a16="http://schemas.microsoft.com/office/drawing/2014/main" id="{00000000-0008-0000-0000-000025000000}"/>
              </a:ext>
            </a:extLst>
          </xdr:cNvPr>
          <xdr:cNvSpPr txBox="1"/>
        </xdr:nvSpPr>
        <xdr:spPr>
          <a:xfrm>
            <a:off x="6349525" y="88256577"/>
            <a:ext cx="2165831" cy="31409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B0463BF6-C25C-4975-88D1-338A4BE28323}" type="TxLink">
              <a:rPr lang="en-US" sz="1200" b="0" i="0" u="none" strike="noStrike">
                <a:solidFill>
                  <a:srgbClr val="FFFFFF"/>
                </a:solidFill>
                <a:latin typeface="Cambria" panose="02040503050406030204" pitchFamily="18" charset="0"/>
              </a:rPr>
              <a:pPr algn="ctr" rtl="0"/>
              <a:t>NOTE
</a:t>
            </a:fld>
            <a:r>
              <a:rPr lang="en-US" sz="1200" b="0" i="0" u="none" strike="noStrike">
                <a:solidFill>
                  <a:srgbClr val="FFFFFF"/>
                </a:solidFill>
                <a:latin typeface="Cambria" panose="02040503050406030204" pitchFamily="18" charset="0"/>
              </a:rPr>
              <a:t>ISAIA</a:t>
            </a:r>
          </a:p>
          <a:p>
            <a:pPr algn="ctr" rtl="0"/>
            <a:r>
              <a:rPr lang="en-US" sz="1200" b="0" i="0" u="none" strike="noStrike">
                <a:solidFill>
                  <a:srgbClr val="FFFFFF"/>
                </a:solidFill>
                <a:latin typeface="Cambria" panose="02040503050406030204" pitchFamily="18" charset="0"/>
              </a:rPr>
              <a:t>L'Eterno</a:t>
            </a:r>
            <a:r>
              <a:rPr lang="en-US" sz="1200" b="0" i="0" u="none" strike="noStrike" baseline="0">
                <a:solidFill>
                  <a:srgbClr val="FFFFFF"/>
                </a:solidFill>
                <a:latin typeface="Cambria" panose="02040503050406030204" pitchFamily="18" charset="0"/>
              </a:rPr>
              <a:t> è Salvezza </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Messia</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Isaia 9:5</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GEREMIA</a:t>
            </a:r>
          </a:p>
          <a:p>
            <a:pPr algn="ctr" rtl="0"/>
            <a:r>
              <a:rPr lang="en-US" sz="1200" b="0" i="0" u="none" strike="noStrike" baseline="0">
                <a:solidFill>
                  <a:srgbClr val="FFFFFF"/>
                </a:solidFill>
                <a:latin typeface="Cambria" panose="02040503050406030204" pitchFamily="18" charset="0"/>
              </a:rPr>
              <a:t>L'Eterno abbatte o denuncia</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Germoglio Giusto</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Geremia 23:5</a:t>
            </a:r>
            <a:endParaRPr lang="en-US" sz="1400">
              <a:solidFill>
                <a:schemeClr val="bg1"/>
              </a:solidFill>
              <a:latin typeface="Cambria" panose="02040503050406030204" pitchFamily="18" charset="0"/>
            </a:endParaRPr>
          </a:p>
        </xdr:txBody>
      </xdr:sp>
    </xdr:grpSp>
    <xdr:clientData/>
  </xdr:twoCellAnchor>
  <xdr:twoCellAnchor editAs="oneCell">
    <xdr:from>
      <xdr:col>9</xdr:col>
      <xdr:colOff>493857</xdr:colOff>
      <xdr:row>248</xdr:row>
      <xdr:rowOff>437790</xdr:rowOff>
    </xdr:from>
    <xdr:to>
      <xdr:col>11</xdr:col>
      <xdr:colOff>503415</xdr:colOff>
      <xdr:row>250</xdr:row>
      <xdr:rowOff>175507</xdr:rowOff>
    </xdr:to>
    <xdr:pic>
      <xdr:nvPicPr>
        <xdr:cNvPr id="38" name="Immagine 37" descr="Foglie">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2">
          <a:duotone>
            <a:schemeClr val="accent4">
              <a:shade val="45000"/>
              <a:satMod val="135000"/>
            </a:schemeClr>
            <a:prstClr val="white"/>
          </a:duotone>
          <a:extLst>
            <a:ext uri="{28A0092B-C50C-407E-A947-70E740481C1C}">
              <a14:useLocalDpi xmlns:a14="http://schemas.microsoft.com/office/drawing/2010/main" val="0"/>
            </a:ext>
          </a:extLst>
        </a:blip>
        <a:stretch>
          <a:fillRect/>
        </a:stretch>
      </xdr:blipFill>
      <xdr:spPr>
        <a:xfrm>
          <a:off x="6243493" y="66808760"/>
          <a:ext cx="1333437" cy="869171"/>
        </a:xfrm>
        <a:prstGeom prst="rect">
          <a:avLst/>
        </a:prstGeom>
      </xdr:spPr>
    </xdr:pic>
    <xdr:clientData/>
  </xdr:twoCellAnchor>
  <xdr:twoCellAnchor editAs="oneCell">
    <xdr:from>
      <xdr:col>0</xdr:col>
      <xdr:colOff>327319</xdr:colOff>
      <xdr:row>249</xdr:row>
      <xdr:rowOff>615362</xdr:rowOff>
    </xdr:from>
    <xdr:to>
      <xdr:col>15</xdr:col>
      <xdr:colOff>13093</xdr:colOff>
      <xdr:row>261</xdr:row>
      <xdr:rowOff>65465</xdr:rowOff>
    </xdr:to>
    <xdr:grpSp>
      <xdr:nvGrpSpPr>
        <xdr:cNvPr id="55" name="Gruppo 54" descr="Blocco della stagione con immagine e note">
          <a:extLst>
            <a:ext uri="{FF2B5EF4-FFF2-40B4-BE49-F238E27FC236}">
              <a16:creationId xmlns:a16="http://schemas.microsoft.com/office/drawing/2014/main" id="{00000000-0008-0000-0000-000037000000}"/>
            </a:ext>
          </a:extLst>
        </xdr:cNvPr>
        <xdr:cNvGrpSpPr/>
      </xdr:nvGrpSpPr>
      <xdr:grpSpPr>
        <a:xfrm>
          <a:off x="312079" y="67432756"/>
          <a:ext cx="9091317" cy="2759800"/>
          <a:chOff x="323850" y="98879024"/>
          <a:chExt cx="8752332" cy="3562351"/>
        </a:xfrm>
      </xdr:grpSpPr>
      <xdr:sp macro="" textlink="">
        <xdr:nvSpPr>
          <xdr:cNvPr id="39" name="Rettangolo 38" descr="Blocco marrone che rappresenta l’autunno">
            <a:extLst>
              <a:ext uri="{FF2B5EF4-FFF2-40B4-BE49-F238E27FC236}">
                <a16:creationId xmlns:a16="http://schemas.microsoft.com/office/drawing/2014/main" id="{00000000-0008-0000-0000-000027000000}"/>
              </a:ext>
            </a:extLst>
          </xdr:cNvPr>
          <xdr:cNvSpPr/>
        </xdr:nvSpPr>
        <xdr:spPr>
          <a:xfrm>
            <a:off x="323850" y="98879024"/>
            <a:ext cx="8752332" cy="3562351"/>
          </a:xfrm>
          <a:prstGeom prst="rect">
            <a:avLst/>
          </a:prstGeom>
          <a:gradFill>
            <a:gsLst>
              <a:gs pos="0">
                <a:schemeClr val="accent4">
                  <a:lumMod val="75000"/>
                </a:schemeClr>
              </a:gs>
              <a:gs pos="52000">
                <a:schemeClr val="accent4">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pic>
        <xdr:nvPicPr>
          <xdr:cNvPr id="40" name="Immagin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14"/>
          <a:srcRect/>
          <a:stretch/>
        </xdr:blipFill>
        <xdr:spPr>
          <a:xfrm>
            <a:off x="579468" y="99026026"/>
            <a:ext cx="4801693" cy="3241265"/>
          </a:xfrm>
          <a:prstGeom prst="rect">
            <a:avLst/>
          </a:prstGeom>
          <a:ln w="88900" cap="sq" cmpd="sng">
            <a:solidFill>
              <a:schemeClr val="bg1"/>
            </a:solidFill>
            <a:prstDash val="solid"/>
            <a:miter lim="800000"/>
          </a:ln>
          <a:effectLst>
            <a:innerShdw blurRad="114300">
              <a:prstClr val="black"/>
            </a:innerShdw>
          </a:effectLst>
        </xdr:spPr>
      </xdr:pic>
      <xdr:sp macro="" textlink="K251">
        <xdr:nvSpPr>
          <xdr:cNvPr id="41" name="CasellaDiTesto 40" descr="Note">
            <a:extLst>
              <a:ext uri="{FF2B5EF4-FFF2-40B4-BE49-F238E27FC236}">
                <a16:creationId xmlns:a16="http://schemas.microsoft.com/office/drawing/2014/main" id="{00000000-0008-0000-0000-000029000000}"/>
              </a:ext>
            </a:extLst>
          </xdr:cNvPr>
          <xdr:cNvSpPr txBox="1"/>
        </xdr:nvSpPr>
        <xdr:spPr>
          <a:xfrm>
            <a:off x="6247754" y="98939750"/>
            <a:ext cx="2170650" cy="34121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3A569CBE-F430-4CF0-9A17-152994283791}" type="TxLink">
              <a:rPr lang="en-US" sz="1100" b="0" i="0" u="none" strike="noStrike">
                <a:solidFill>
                  <a:srgbClr val="FFFFFF"/>
                </a:solidFill>
                <a:latin typeface="Cambria" panose="02040503050406030204" pitchFamily="18" charset="0"/>
              </a:rPr>
              <a:pPr algn="ctr" rtl="0"/>
              <a:t>NOTE
</a:t>
            </a:fld>
            <a:r>
              <a:rPr lang="en-US" sz="1100" b="0" i="0" u="none" strike="noStrike">
                <a:solidFill>
                  <a:srgbClr val="FFFFFF"/>
                </a:solidFill>
                <a:latin typeface="Cambria" panose="02040503050406030204" pitchFamily="18" charset="0"/>
              </a:rPr>
              <a:t>LAMENTAZIONI</a:t>
            </a:r>
          </a:p>
          <a:p>
            <a:pPr algn="ctr" rtl="0"/>
            <a:endParaRPr lang="en-US" sz="1100" b="0" i="0" u="none" strike="noStrike">
              <a:solidFill>
                <a:srgbClr val="FFFFFF"/>
              </a:solidFill>
              <a:latin typeface="Cambria" panose="02040503050406030204" pitchFamily="18" charset="0"/>
            </a:endParaRPr>
          </a:p>
          <a:p>
            <a:pPr algn="ctr" rtl="0"/>
            <a:r>
              <a:rPr lang="en-US" sz="1100" b="0" i="0" u="none" strike="noStrike">
                <a:solidFill>
                  <a:srgbClr val="FFFFFF"/>
                </a:solidFill>
                <a:latin typeface="Cambria" panose="02040503050406030204" pitchFamily="18" charset="0"/>
              </a:rPr>
              <a:t>Presenta</a:t>
            </a:r>
            <a:r>
              <a:rPr lang="en-US" sz="1100" b="0" i="0" u="none" strike="noStrike" baseline="0">
                <a:solidFill>
                  <a:srgbClr val="FFFFFF"/>
                </a:solidFill>
                <a:latin typeface="Cambria" panose="02040503050406030204" pitchFamily="18" charset="0"/>
              </a:rPr>
              <a:t> Gesù quale Germoglio Giusto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Lamentazioni 3:21-23</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EZECHIELE</a:t>
            </a:r>
          </a:p>
          <a:p>
            <a:pPr algn="ctr" rtl="0"/>
            <a:r>
              <a:rPr lang="en-US" sz="1100" b="0" i="0" u="none" strike="noStrike" baseline="0">
                <a:solidFill>
                  <a:srgbClr val="FFFFFF"/>
                </a:solidFill>
                <a:latin typeface="Cambria" panose="02040503050406030204" pitchFamily="18" charset="0"/>
              </a:rPr>
              <a:t>Dio Fortifica o La Forza di Dio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Figlio dell'Uomo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Ezechiele 43:2</a:t>
            </a:r>
            <a:endParaRPr lang="en-US" sz="1100">
              <a:solidFill>
                <a:schemeClr val="bg1"/>
              </a:solidFill>
              <a:latin typeface="Cambria" panose="02040503050406030204" pitchFamily="18" charset="0"/>
            </a:endParaRPr>
          </a:p>
        </xdr:txBody>
      </xdr:sp>
    </xdr:grpSp>
    <xdr:clientData/>
  </xdr:twoCellAnchor>
  <xdr:twoCellAnchor editAs="oneCell">
    <xdr:from>
      <xdr:col>9</xdr:col>
      <xdr:colOff>447675</xdr:colOff>
      <xdr:row>273</xdr:row>
      <xdr:rowOff>0</xdr:rowOff>
    </xdr:from>
    <xdr:to>
      <xdr:col>11</xdr:col>
      <xdr:colOff>457233</xdr:colOff>
      <xdr:row>274</xdr:row>
      <xdr:rowOff>82650</xdr:rowOff>
    </xdr:to>
    <xdr:pic>
      <xdr:nvPicPr>
        <xdr:cNvPr id="42" name="Immagine 41" descr="Foglie">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12">
          <a:duotone>
            <a:schemeClr val="accent4">
              <a:shade val="45000"/>
              <a:satMod val="135000"/>
            </a:schemeClr>
            <a:prstClr val="white"/>
          </a:duotone>
          <a:extLst>
            <a:ext uri="{28A0092B-C50C-407E-A947-70E740481C1C}">
              <a14:useLocalDpi xmlns:a14="http://schemas.microsoft.com/office/drawing/2010/main" val="0"/>
            </a:ext>
          </a:extLst>
        </a:blip>
        <a:stretch>
          <a:fillRect/>
        </a:stretch>
      </xdr:blipFill>
      <xdr:spPr>
        <a:xfrm>
          <a:off x="4924425" y="160699"/>
          <a:ext cx="1362075" cy="826258"/>
        </a:xfrm>
        <a:prstGeom prst="rect">
          <a:avLst/>
        </a:prstGeom>
      </xdr:spPr>
    </xdr:pic>
    <xdr:clientData/>
  </xdr:twoCellAnchor>
  <xdr:twoCellAnchor editAs="oneCell">
    <xdr:from>
      <xdr:col>0</xdr:col>
      <xdr:colOff>39277</xdr:colOff>
      <xdr:row>273</xdr:row>
      <xdr:rowOff>565076</xdr:rowOff>
    </xdr:from>
    <xdr:to>
      <xdr:col>15</xdr:col>
      <xdr:colOff>65464</xdr:colOff>
      <xdr:row>288</xdr:row>
      <xdr:rowOff>170128</xdr:rowOff>
    </xdr:to>
    <xdr:grpSp>
      <xdr:nvGrpSpPr>
        <xdr:cNvPr id="56" name="Gruppo 55" descr="Blocco della stagione con immagine e note">
          <a:extLst>
            <a:ext uri="{FF2B5EF4-FFF2-40B4-BE49-F238E27FC236}">
              <a16:creationId xmlns:a16="http://schemas.microsoft.com/office/drawing/2014/main" id="{00000000-0008-0000-0000-000038000000}"/>
            </a:ext>
          </a:extLst>
        </xdr:cNvPr>
        <xdr:cNvGrpSpPr/>
      </xdr:nvGrpSpPr>
      <xdr:grpSpPr>
        <a:xfrm>
          <a:off x="39277" y="74271258"/>
          <a:ext cx="9416490" cy="3738325"/>
          <a:chOff x="280585" y="109758120"/>
          <a:chExt cx="8265882" cy="3633879"/>
        </a:xfrm>
      </xdr:grpSpPr>
      <xdr:sp macro="" textlink="">
        <xdr:nvSpPr>
          <xdr:cNvPr id="43" name="Rettangolo 42" descr="Blocco marrone che rappresenta l’autunno">
            <a:extLst>
              <a:ext uri="{FF2B5EF4-FFF2-40B4-BE49-F238E27FC236}">
                <a16:creationId xmlns:a16="http://schemas.microsoft.com/office/drawing/2014/main" id="{00000000-0008-0000-0000-00002B000000}"/>
              </a:ext>
            </a:extLst>
          </xdr:cNvPr>
          <xdr:cNvSpPr/>
        </xdr:nvSpPr>
        <xdr:spPr>
          <a:xfrm>
            <a:off x="323849" y="109766099"/>
            <a:ext cx="8222618" cy="3562351"/>
          </a:xfrm>
          <a:prstGeom prst="rect">
            <a:avLst/>
          </a:prstGeom>
          <a:gradFill>
            <a:gsLst>
              <a:gs pos="0">
                <a:schemeClr val="accent4">
                  <a:lumMod val="75000"/>
                </a:schemeClr>
              </a:gs>
              <a:gs pos="52000">
                <a:schemeClr val="accent4">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p>
            <a:pPr algn="l" rtl="0"/>
            <a:endParaRPr lang="en-US" sz="1100"/>
          </a:p>
        </xdr:txBody>
      </xdr:sp>
      <xdr:sp macro="" textlink="K275">
        <xdr:nvSpPr>
          <xdr:cNvPr id="45" name="CasellaDiTesto 44" descr="Note">
            <a:extLst>
              <a:ext uri="{FF2B5EF4-FFF2-40B4-BE49-F238E27FC236}">
                <a16:creationId xmlns:a16="http://schemas.microsoft.com/office/drawing/2014/main" id="{00000000-0008-0000-0000-00002D000000}"/>
              </a:ext>
            </a:extLst>
          </xdr:cNvPr>
          <xdr:cNvSpPr txBox="1"/>
        </xdr:nvSpPr>
        <xdr:spPr>
          <a:xfrm>
            <a:off x="280585" y="109758120"/>
            <a:ext cx="1398253" cy="36338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126A1C47-74A4-48DE-9C54-5F7BFA9F3ED7}" type="TxLink">
              <a:rPr lang="en-US" sz="1100" b="0" i="0" u="none" strike="noStrike">
                <a:solidFill>
                  <a:srgbClr val="FFFFFF"/>
                </a:solidFill>
                <a:latin typeface="Cambria" panose="02040503050406030204" pitchFamily="18" charset="0"/>
              </a:rPr>
              <a:pPr algn="ctr" rtl="0"/>
              <a:t>NOTE
</a:t>
            </a:fld>
            <a:r>
              <a:rPr lang="en-US" sz="1100" b="0" i="0" u="none" strike="noStrike">
                <a:solidFill>
                  <a:srgbClr val="FFFFFF"/>
                </a:solidFill>
                <a:latin typeface="Cambria" panose="02040503050406030204" pitchFamily="18" charset="0"/>
              </a:rPr>
              <a:t>DANIELE</a:t>
            </a:r>
          </a:p>
          <a:p>
            <a:pPr algn="ctr" rtl="0"/>
            <a:r>
              <a:rPr lang="en-US" sz="1100" b="0" i="0" u="none" strike="noStrike">
                <a:solidFill>
                  <a:srgbClr val="FFFFFF"/>
                </a:solidFill>
                <a:latin typeface="Cambria" panose="02040503050406030204" pitchFamily="18" charset="0"/>
              </a:rPr>
              <a:t>Dio è il Mio Giudice</a:t>
            </a:r>
          </a:p>
          <a:p>
            <a:pPr algn="ctr" rtl="0"/>
            <a:endParaRPr lang="en-US" sz="1100" b="0" i="0" u="none" strike="noStrike">
              <a:solidFill>
                <a:srgbClr val="FFFFFF"/>
              </a:solidFill>
              <a:latin typeface="Cambria" panose="02040503050406030204" pitchFamily="18" charset="0"/>
            </a:endParaRPr>
          </a:p>
          <a:p>
            <a:pPr algn="ctr" rtl="0"/>
            <a:r>
              <a:rPr lang="en-US" sz="1100" b="0" i="0" u="none" strike="noStrike">
                <a:solidFill>
                  <a:srgbClr val="FFFFFF"/>
                </a:solidFill>
                <a:latin typeface="Cambria" panose="02040503050406030204" pitchFamily="18" charset="0"/>
              </a:rPr>
              <a:t>Presenta Gesù quale</a:t>
            </a:r>
            <a:r>
              <a:rPr lang="en-US" sz="1100" b="0" i="0" u="none" strike="noStrike" baseline="0">
                <a:solidFill>
                  <a:srgbClr val="FFFFFF"/>
                </a:solidFill>
                <a:latin typeface="Cambria" panose="02040503050406030204" pitchFamily="18" charset="0"/>
              </a:rPr>
              <a:t> Pietra che frantuma</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Daniele 2:44</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OSEA</a:t>
            </a:r>
          </a:p>
          <a:p>
            <a:pPr algn="ctr" rtl="0"/>
            <a:r>
              <a:rPr lang="en-US" sz="1100" b="0" i="0" u="none" strike="noStrike" baseline="0">
                <a:solidFill>
                  <a:srgbClr val="FFFFFF"/>
                </a:solidFill>
                <a:latin typeface="Cambria" panose="02040503050406030204" pitchFamily="18" charset="0"/>
              </a:rPr>
              <a:t>Salvezza o Liberazione</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Guaritore dello Sviato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Osea 11:4</a:t>
            </a:r>
            <a:endParaRPr lang="en-US" sz="1100">
              <a:solidFill>
                <a:schemeClr val="bg1"/>
              </a:solidFill>
              <a:latin typeface="Cambria" panose="02040503050406030204" pitchFamily="18" charset="0"/>
            </a:endParaRPr>
          </a:p>
        </xdr:txBody>
      </xdr:sp>
    </xdr:grpSp>
    <xdr:clientData/>
  </xdr:twoCellAnchor>
  <xdr:twoCellAnchor editAs="oneCell">
    <xdr:from>
      <xdr:col>9</xdr:col>
      <xdr:colOff>371476</xdr:colOff>
      <xdr:row>301</xdr:row>
      <xdr:rowOff>0</xdr:rowOff>
    </xdr:from>
    <xdr:to>
      <xdr:col>11</xdr:col>
      <xdr:colOff>456829</xdr:colOff>
      <xdr:row>303</xdr:row>
      <xdr:rowOff>69000</xdr:rowOff>
    </xdr:to>
    <xdr:pic>
      <xdr:nvPicPr>
        <xdr:cNvPr id="58" name="Immagine 57" descr="Albero e fiocco di neve">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1">
          <a:duotone>
            <a:prstClr val="black"/>
            <a:schemeClr val="accent1">
              <a:tint val="45000"/>
              <a:satMod val="400000"/>
            </a:schemeClr>
          </a:duotone>
          <a:extLst>
            <a:ext uri="{28A0092B-C50C-407E-A947-70E740481C1C}">
              <a14:useLocalDpi xmlns:a14="http://schemas.microsoft.com/office/drawing/2010/main" val="0"/>
            </a:ext>
          </a:extLst>
        </a:blip>
        <a:stretch>
          <a:fillRect/>
        </a:stretch>
      </xdr:blipFill>
      <xdr:spPr>
        <a:xfrm>
          <a:off x="4848226" y="152399"/>
          <a:ext cx="1437870" cy="942975"/>
        </a:xfrm>
        <a:prstGeom prst="rect">
          <a:avLst/>
        </a:prstGeom>
      </xdr:spPr>
    </xdr:pic>
    <xdr:clientData/>
  </xdr:twoCellAnchor>
  <xdr:twoCellAnchor editAs="oneCell">
    <xdr:from>
      <xdr:col>1</xdr:col>
      <xdr:colOff>4064</xdr:colOff>
      <xdr:row>301</xdr:row>
      <xdr:rowOff>576083</xdr:rowOff>
    </xdr:from>
    <xdr:to>
      <xdr:col>15</xdr:col>
      <xdr:colOff>26185</xdr:colOff>
      <xdr:row>317</xdr:row>
      <xdr:rowOff>122957</xdr:rowOff>
    </xdr:to>
    <xdr:grpSp>
      <xdr:nvGrpSpPr>
        <xdr:cNvPr id="57" name="Gruppo 56" descr="Blocco della stagione con immagine e note">
          <a:extLst>
            <a:ext uri="{FF2B5EF4-FFF2-40B4-BE49-F238E27FC236}">
              <a16:creationId xmlns:a16="http://schemas.microsoft.com/office/drawing/2014/main" id="{00000000-0008-0000-0000-000039000000}"/>
            </a:ext>
          </a:extLst>
        </xdr:cNvPr>
        <xdr:cNvGrpSpPr/>
      </xdr:nvGrpSpPr>
      <xdr:grpSpPr>
        <a:xfrm>
          <a:off x="319640" y="81686750"/>
          <a:ext cx="9096848" cy="3810995"/>
          <a:chOff x="327914" y="120653173"/>
          <a:chExt cx="8748330" cy="3668123"/>
        </a:xfrm>
      </xdr:grpSpPr>
      <xdr:sp macro="" textlink="">
        <xdr:nvSpPr>
          <xdr:cNvPr id="59" name="Rettangolo 58" descr="Blocco blu che rappresenta l’inverno">
            <a:extLst>
              <a:ext uri="{FF2B5EF4-FFF2-40B4-BE49-F238E27FC236}">
                <a16:creationId xmlns:a16="http://schemas.microsoft.com/office/drawing/2014/main" id="{00000000-0008-0000-0000-00003B000000}"/>
              </a:ext>
            </a:extLst>
          </xdr:cNvPr>
          <xdr:cNvSpPr/>
        </xdr:nvSpPr>
        <xdr:spPr>
          <a:xfrm>
            <a:off x="327914" y="120653173"/>
            <a:ext cx="8748330" cy="3606294"/>
          </a:xfrm>
          <a:prstGeom prst="rect">
            <a:avLst/>
          </a:prstGeom>
          <a:gradFill>
            <a:gsLst>
              <a:gs pos="0">
                <a:schemeClr val="accent1">
                  <a:lumMod val="50000"/>
                </a:schemeClr>
              </a:gs>
              <a:gs pos="52000">
                <a:schemeClr val="accent1">
                  <a:lumMod val="75000"/>
                </a:schemeClr>
              </a:gs>
            </a:gsLst>
            <a:lin ang="5400000" scaled="0"/>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rtl="0"/>
            <a:endParaRPr lang="en-US" sz="1100"/>
          </a:p>
        </xdr:txBody>
      </xdr:sp>
      <xdr:sp macro="" textlink="J303">
        <xdr:nvSpPr>
          <xdr:cNvPr id="61" name="CasellaDiTesto 60" descr="Note">
            <a:extLst>
              <a:ext uri="{FF2B5EF4-FFF2-40B4-BE49-F238E27FC236}">
                <a16:creationId xmlns:a16="http://schemas.microsoft.com/office/drawing/2014/main" id="{00000000-0008-0000-0000-00003D000000}"/>
              </a:ext>
            </a:extLst>
          </xdr:cNvPr>
          <xdr:cNvSpPr txBox="1"/>
        </xdr:nvSpPr>
        <xdr:spPr>
          <a:xfrm>
            <a:off x="6322720" y="121157472"/>
            <a:ext cx="2020824" cy="31638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BDB30AD2-E437-BA4A-BA65-D76D279A47D4}" type="TxLink">
              <a:rPr lang="en-US" sz="1200" b="0" i="0" u="none" strike="noStrike">
                <a:solidFill>
                  <a:srgbClr val="FFFFFF"/>
                </a:solidFill>
                <a:latin typeface="Cambria"/>
              </a:rPr>
              <a:pPr algn="ctr" rtl="0"/>
              <a:t>NOTE
</a:t>
            </a:fld>
            <a:r>
              <a:rPr lang="en-US" sz="1200" b="0" i="0" u="none" strike="noStrike">
                <a:solidFill>
                  <a:srgbClr val="FFFFFF"/>
                </a:solidFill>
                <a:latin typeface="Cambria"/>
              </a:rPr>
              <a:t>La Storia</a:t>
            </a:r>
            <a:r>
              <a:rPr lang="en-US" sz="1200" b="0" i="0" u="none" strike="noStrike" baseline="0">
                <a:solidFill>
                  <a:srgbClr val="FFFFFF"/>
                </a:solidFill>
                <a:latin typeface="Cambria"/>
              </a:rPr>
              <a:t> di Gesù</a:t>
            </a:r>
          </a:p>
          <a:p>
            <a:pPr algn="ctr" rtl="0"/>
            <a:endParaRPr lang="en-US" sz="1200" b="0" i="0" u="none" strike="noStrike" baseline="0">
              <a:solidFill>
                <a:srgbClr val="FFFFFF"/>
              </a:solidFill>
              <a:latin typeface="Cambria"/>
            </a:endParaRPr>
          </a:p>
          <a:p>
            <a:pPr algn="ctr" rtl="0"/>
            <a:r>
              <a:rPr lang="en-US" sz="1200" b="0" i="0" u="none" strike="noStrike" baseline="0">
                <a:solidFill>
                  <a:srgbClr val="FFFFFF"/>
                </a:solidFill>
                <a:latin typeface="Cambria"/>
              </a:rPr>
              <a:t>Dalle Profezie dell'Antico Testamento </a:t>
            </a:r>
          </a:p>
          <a:p>
            <a:pPr algn="ctr" rtl="0"/>
            <a:r>
              <a:rPr lang="en-US" sz="1200" b="0" i="0" u="none" strike="noStrike" baseline="0">
                <a:solidFill>
                  <a:srgbClr val="FFFFFF"/>
                </a:solidFill>
                <a:latin typeface="Cambria"/>
              </a:rPr>
              <a:t>al loro adempimento </a:t>
            </a:r>
          </a:p>
          <a:p>
            <a:pPr algn="ctr" rtl="0"/>
            <a:endParaRPr lang="en-US" sz="1200" b="0" i="0" u="none" strike="noStrike" baseline="0">
              <a:solidFill>
                <a:srgbClr val="FFFFFF"/>
              </a:solidFill>
              <a:latin typeface="Cambria"/>
            </a:endParaRPr>
          </a:p>
          <a:p>
            <a:pPr algn="ctr" rtl="0"/>
            <a:r>
              <a:rPr lang="en-US" sz="1200" b="0" i="0" u="none" strike="noStrike" baseline="0">
                <a:solidFill>
                  <a:srgbClr val="FFFFFF"/>
                </a:solidFill>
                <a:latin typeface="Cambria"/>
              </a:rPr>
              <a:t>Nella Bibbia si trovano circa 300 profezie, scritte da auori diverse nell'arco di molti secoli, che prefigurano l'arrivo del Messia.</a:t>
            </a:r>
          </a:p>
          <a:p>
            <a:pPr algn="ctr" rtl="0"/>
            <a:endParaRPr lang="en-US" sz="1200" b="0" i="0" u="none" strike="noStrike" baseline="0">
              <a:solidFill>
                <a:srgbClr val="FFFFFF"/>
              </a:solidFill>
              <a:latin typeface="Cambria"/>
            </a:endParaRPr>
          </a:p>
          <a:p>
            <a:pPr algn="ctr" rtl="0"/>
            <a:endParaRPr lang="en-US" sz="1200">
              <a:solidFill>
                <a:schemeClr val="bg1"/>
              </a:solidFill>
              <a:latin typeface="Cambria" panose="02040503050406030204" pitchFamily="18" charset="0"/>
            </a:endParaRPr>
          </a:p>
        </xdr:txBody>
      </xdr:sp>
    </xdr:grpSp>
    <xdr:clientData/>
  </xdr:twoCellAnchor>
  <mc:AlternateContent xmlns:mc="http://schemas.openxmlformats.org/markup-compatibility/2006">
    <mc:Choice xmlns:a14="http://schemas.microsoft.com/office/drawing/2010/main" Requires="a14">
      <xdr:twoCellAnchor editAs="oneCell">
        <xdr:from>
          <xdr:col>15</xdr:col>
          <xdr:colOff>53340</xdr:colOff>
          <xdr:row>0</xdr:row>
          <xdr:rowOff>137160</xdr:rowOff>
        </xdr:from>
        <xdr:to>
          <xdr:col>16</xdr:col>
          <xdr:colOff>99060</xdr:colOff>
          <xdr:row>1</xdr:row>
          <xdr:rowOff>0</xdr:rowOff>
        </xdr:to>
        <xdr:sp macro="" textlink="">
          <xdr:nvSpPr>
            <xdr:cNvPr id="1025" name="Casella di selezione 1" descr="Controllo della casella di selezione. Usare la casella di selezione per cambiare l'anno del calendario oppure digitare l'anno che si vuole nella cella L2"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noFill/>
            <a:ln w="9525">
              <a:miter lim="800000"/>
              <a:headEnd/>
              <a:tailEnd/>
            </a:ln>
          </xdr:spPr>
        </xdr:sp>
        <xdr:clientData fPrintsWithSheet="0"/>
      </xdr:twoCellAnchor>
    </mc:Choice>
    <mc:Fallback/>
  </mc:AlternateContent>
  <xdr:twoCellAnchor>
    <xdr:from>
      <xdr:col>11</xdr:col>
      <xdr:colOff>373930</xdr:colOff>
      <xdr:row>57</xdr:row>
      <xdr:rowOff>101631</xdr:rowOff>
    </xdr:from>
    <xdr:to>
      <xdr:col>14</xdr:col>
      <xdr:colOff>165134</xdr:colOff>
      <xdr:row>71</xdr:row>
      <xdr:rowOff>196391</xdr:rowOff>
    </xdr:to>
    <xdr:sp macro="" textlink="J58">
      <xdr:nvSpPr>
        <xdr:cNvPr id="66" name="CasellaDiTesto 65" descr="Note">
          <a:extLst>
            <a:ext uri="{FF2B5EF4-FFF2-40B4-BE49-F238E27FC236}">
              <a16:creationId xmlns:a16="http://schemas.microsoft.com/office/drawing/2014/main" id="{00000000-0008-0000-0000-000042000000}"/>
            </a:ext>
          </a:extLst>
        </xdr:cNvPr>
        <xdr:cNvSpPr txBox="1"/>
      </xdr:nvSpPr>
      <xdr:spPr>
        <a:xfrm>
          <a:off x="7810631" y="20657301"/>
          <a:ext cx="1951513" cy="33941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3F3973DD-6219-4BB2-8E58-5CC1773E09D7}" type="TxLink">
            <a:rPr lang="en-US" sz="1200" b="0" i="0" u="none" strike="noStrike">
              <a:solidFill>
                <a:srgbClr val="FFFFFF"/>
              </a:solidFill>
              <a:latin typeface="Cambria" panose="02040503050406030204" pitchFamily="18" charset="0"/>
            </a:rPr>
            <a:pPr algn="ctr" rtl="0"/>
            <a:t>NOTE
</a:t>
          </a:fld>
          <a:r>
            <a:rPr lang="en-US" sz="1200" b="0" i="0" u="none" strike="noStrike" baseline="0">
              <a:solidFill>
                <a:srgbClr val="FFFFFF"/>
              </a:solidFill>
              <a:latin typeface="Cambria" panose="02040503050406030204" pitchFamily="18" charset="0"/>
            </a:rPr>
            <a:t>GIUDICI</a:t>
          </a:r>
        </a:p>
        <a:p>
          <a:pPr algn="ctr" rtl="0"/>
          <a:r>
            <a:rPr lang="en-US" sz="1200" b="0" i="0" u="none" strike="noStrike" baseline="0">
              <a:solidFill>
                <a:srgbClr val="FFFFFF"/>
              </a:solidFill>
              <a:latin typeface="Cambria" panose="02040503050406030204" pitchFamily="18" charset="0"/>
            </a:rPr>
            <a:t>Liberatori</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a:t>
          </a:r>
        </a:p>
        <a:p>
          <a:pPr algn="ctr" rtl="0"/>
          <a:r>
            <a:rPr lang="en-US" sz="1200" b="0" i="0" u="none" strike="noStrike" baseline="0">
              <a:solidFill>
                <a:srgbClr val="FFFFFF"/>
              </a:solidFill>
              <a:latin typeface="Cambria" panose="02040503050406030204" pitchFamily="18" charset="0"/>
            </a:rPr>
            <a:t>nostro Giudice Liberatore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Giudici 21:25</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RUT</a:t>
          </a:r>
        </a:p>
        <a:p>
          <a:pPr algn="ctr" rtl="0"/>
          <a:r>
            <a:rPr lang="en-US" sz="1200" b="0" i="0" u="none" strike="noStrike" baseline="0">
              <a:solidFill>
                <a:srgbClr val="FFFFFF"/>
              </a:solidFill>
              <a:latin typeface="Cambria" panose="02040503050406030204" pitchFamily="18" charset="0"/>
            </a:rPr>
            <a:t>Amichevole o attraente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a:t>
          </a:r>
        </a:p>
        <a:p>
          <a:pPr algn="ctr" rtl="0"/>
          <a:r>
            <a:rPr lang="en-US" sz="1200" b="0" i="0" u="none" strike="noStrike" baseline="0">
              <a:solidFill>
                <a:srgbClr val="FFFFFF"/>
              </a:solidFill>
              <a:latin typeface="Cambria" panose="02040503050406030204" pitchFamily="18" charset="0"/>
            </a:rPr>
            <a:t>Nostro Parente</a:t>
          </a:r>
        </a:p>
        <a:p>
          <a:pPr algn="ctr" rtl="0"/>
          <a:r>
            <a:rPr lang="en-US" sz="1200" b="0" i="0" u="none" strike="noStrike" baseline="0">
              <a:solidFill>
                <a:srgbClr val="FFFFFF"/>
              </a:solidFill>
              <a:latin typeface="Cambria" panose="02040503050406030204" pitchFamily="18" charset="0"/>
            </a:rPr>
            <a:t>Redentore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Rut 2:12</a:t>
          </a:r>
          <a:endParaRPr lang="en-US" sz="1200" b="0" i="0" u="none" strike="noStrike" baseline="0">
            <a:solidFill>
              <a:schemeClr val="bg1"/>
            </a:solidFill>
            <a:latin typeface="Cambria" panose="02040503050406030204" pitchFamily="18" charset="0"/>
          </a:endParaRPr>
        </a:p>
      </xdr:txBody>
    </xdr:sp>
    <xdr:clientData/>
  </xdr:twoCellAnchor>
  <xdr:twoCellAnchor>
    <xdr:from>
      <xdr:col>11</xdr:col>
      <xdr:colOff>371456</xdr:colOff>
      <xdr:row>141</xdr:row>
      <xdr:rowOff>79404</xdr:rowOff>
    </xdr:from>
    <xdr:to>
      <xdr:col>15</xdr:col>
      <xdr:colOff>26185</xdr:colOff>
      <xdr:row>154</xdr:row>
      <xdr:rowOff>248762</xdr:rowOff>
    </xdr:to>
    <xdr:sp macro="" textlink="J142">
      <xdr:nvSpPr>
        <xdr:cNvPr id="67" name="CasellaDiTesto 66" descr="Note">
          <a:extLst>
            <a:ext uri="{FF2B5EF4-FFF2-40B4-BE49-F238E27FC236}">
              <a16:creationId xmlns:a16="http://schemas.microsoft.com/office/drawing/2014/main" id="{00000000-0008-0000-0000-000043000000}"/>
            </a:ext>
          </a:extLst>
        </xdr:cNvPr>
        <xdr:cNvSpPr txBox="1"/>
      </xdr:nvSpPr>
      <xdr:spPr>
        <a:xfrm>
          <a:off x="7808157" y="36935590"/>
          <a:ext cx="2089987" cy="32330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EADE9B4F-7C73-4434-8AA5-DEDA9E37EACA}" type="TxLink">
            <a:rPr lang="en-US" sz="1200" b="0" i="0" u="none" strike="noStrike">
              <a:solidFill>
                <a:schemeClr val="bg1"/>
              </a:solidFill>
              <a:latin typeface="Cambria" panose="02040503050406030204" pitchFamily="18" charset="0"/>
            </a:rPr>
            <a:pPr algn="ctr" rtl="0"/>
            <a:t>NOTE
</a:t>
          </a:fld>
          <a:r>
            <a:rPr lang="en-US" sz="1200" b="0" i="0" u="none" strike="noStrike">
              <a:solidFill>
                <a:schemeClr val="bg1"/>
              </a:solidFill>
              <a:latin typeface="Cambria" panose="02040503050406030204" pitchFamily="18" charset="0"/>
            </a:rPr>
            <a:t>ESTER</a:t>
          </a:r>
        </a:p>
        <a:p>
          <a:pPr algn="ctr" rtl="0"/>
          <a:r>
            <a:rPr lang="en-US" sz="1200" b="0" i="0" u="none" strike="noStrike">
              <a:solidFill>
                <a:schemeClr val="bg1"/>
              </a:solidFill>
              <a:latin typeface="Cambria" panose="02040503050406030204" pitchFamily="18" charset="0"/>
            </a:rPr>
            <a:t>Stella</a:t>
          </a:r>
        </a:p>
        <a:p>
          <a:pPr algn="ctr" rtl="0"/>
          <a:endParaRPr lang="en-US" sz="1200" b="0" i="0" u="none" strike="noStrike">
            <a:solidFill>
              <a:schemeClr val="bg1"/>
            </a:solidFill>
            <a:latin typeface="Cambria" panose="02040503050406030204" pitchFamily="18" charset="0"/>
          </a:endParaRPr>
        </a:p>
        <a:p>
          <a:pPr algn="ctr" rtl="0"/>
          <a:r>
            <a:rPr lang="en-US" sz="1200" b="0" i="0" u="none" strike="noStrike">
              <a:solidFill>
                <a:schemeClr val="bg1"/>
              </a:solidFill>
              <a:latin typeface="Cambria" panose="02040503050406030204" pitchFamily="18" charset="0"/>
            </a:rPr>
            <a:t>Presenta</a:t>
          </a:r>
          <a:r>
            <a:rPr lang="en-US" sz="1200" b="0" i="0" u="none" strike="noStrike" baseline="0">
              <a:solidFill>
                <a:schemeClr val="bg1"/>
              </a:solidFill>
              <a:latin typeface="Cambria" panose="02040503050406030204" pitchFamily="18" charset="0"/>
            </a:rPr>
            <a:t> Gesù quale</a:t>
          </a:r>
        </a:p>
        <a:p>
          <a:pPr algn="ctr" rtl="0"/>
          <a:r>
            <a:rPr lang="en-US" sz="1200" b="0" i="0" u="none" strike="noStrike" baseline="0">
              <a:solidFill>
                <a:schemeClr val="bg1"/>
              </a:solidFill>
              <a:latin typeface="Cambria" panose="02040503050406030204" pitchFamily="18" charset="0"/>
            </a:rPr>
            <a:t>Nostro Avvocato</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Verso Chiave: Ester 4:14</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GIOBBE</a:t>
          </a:r>
        </a:p>
        <a:p>
          <a:pPr algn="ctr" rtl="0"/>
          <a:r>
            <a:rPr lang="en-US" sz="1200" b="0" i="0" u="none" strike="noStrike" baseline="0">
              <a:solidFill>
                <a:schemeClr val="bg1"/>
              </a:solidFill>
              <a:latin typeface="Cambria" panose="02040503050406030204" pitchFamily="18" charset="0"/>
            </a:rPr>
            <a:t>Afflitto</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Presenta Gesù quale </a:t>
          </a:r>
        </a:p>
        <a:p>
          <a:pPr algn="ctr" rtl="0"/>
          <a:r>
            <a:rPr lang="en-US" sz="1200" b="0" i="0" u="none" strike="noStrike" baseline="0">
              <a:solidFill>
                <a:schemeClr val="bg1"/>
              </a:solidFill>
              <a:latin typeface="Cambria" panose="02040503050406030204" pitchFamily="18" charset="0"/>
            </a:rPr>
            <a:t>Nostro Redentore</a:t>
          </a:r>
        </a:p>
        <a:p>
          <a:pPr algn="ctr" rtl="0"/>
          <a:endParaRPr lang="en-US" sz="1200" b="0" i="0" u="none" strike="noStrike" baseline="0">
            <a:solidFill>
              <a:schemeClr val="bg1"/>
            </a:solidFill>
            <a:latin typeface="Cambria" panose="02040503050406030204" pitchFamily="18" charset="0"/>
          </a:endParaRPr>
        </a:p>
        <a:p>
          <a:pPr algn="ctr" rtl="0"/>
          <a:r>
            <a:rPr lang="en-US" sz="1200" b="0" i="0" u="none" strike="noStrike" baseline="0">
              <a:solidFill>
                <a:schemeClr val="bg1"/>
              </a:solidFill>
              <a:latin typeface="Cambria" panose="02040503050406030204" pitchFamily="18" charset="0"/>
            </a:rPr>
            <a:t>Verso Chiave: Giobbe 19:25</a:t>
          </a:r>
          <a:endParaRPr lang="en-US" sz="1200" b="0" i="0" u="none" strike="noStrike">
            <a:solidFill>
              <a:schemeClr val="bg1"/>
            </a:solidFill>
            <a:latin typeface="Cambria" panose="02040503050406030204" pitchFamily="18" charset="0"/>
          </a:endParaRPr>
        </a:p>
        <a:p>
          <a:pPr algn="ctr" rtl="0"/>
          <a:endParaRPr lang="en-US" sz="1200" b="0" i="0" u="none" strike="noStrike">
            <a:solidFill>
              <a:schemeClr val="bg1"/>
            </a:solidFill>
            <a:latin typeface="Cambria" panose="02040503050406030204" pitchFamily="18" charset="0"/>
          </a:endParaRPr>
        </a:p>
        <a:p>
          <a:pPr algn="ctr" rtl="0"/>
          <a:endParaRPr lang="en-US" sz="1200">
            <a:solidFill>
              <a:schemeClr val="bg1"/>
            </a:solidFill>
            <a:latin typeface="Cambria" panose="02040503050406030204" pitchFamily="18" charset="0"/>
          </a:endParaRPr>
        </a:p>
      </xdr:txBody>
    </xdr:sp>
    <xdr:clientData/>
  </xdr:twoCellAnchor>
  <xdr:twoCellAnchor>
    <xdr:from>
      <xdr:col>11</xdr:col>
      <xdr:colOff>619257</xdr:colOff>
      <xdr:row>196</xdr:row>
      <xdr:rowOff>70558</xdr:rowOff>
    </xdr:from>
    <xdr:to>
      <xdr:col>16</xdr:col>
      <xdr:colOff>17231</xdr:colOff>
      <xdr:row>208</xdr:row>
      <xdr:rowOff>34854</xdr:rowOff>
    </xdr:to>
    <xdr:sp macro="" textlink="K194">
      <xdr:nvSpPr>
        <xdr:cNvPr id="68" name="CasellaDiTesto 67" descr="Note">
          <a:extLst>
            <a:ext uri="{FF2B5EF4-FFF2-40B4-BE49-F238E27FC236}">
              <a16:creationId xmlns:a16="http://schemas.microsoft.com/office/drawing/2014/main" id="{00000000-0008-0000-0000-000044000000}"/>
            </a:ext>
          </a:extLst>
        </xdr:cNvPr>
        <xdr:cNvSpPr txBox="1"/>
      </xdr:nvSpPr>
      <xdr:spPr>
        <a:xfrm>
          <a:off x="7347108" y="77309649"/>
          <a:ext cx="2074421" cy="32075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5E8F4CCB-EDF6-496A-A76F-D4E9E2B7D90E}" type="TxLink">
            <a:rPr lang="en-US" sz="1200" b="0" i="0" u="none" strike="noStrike">
              <a:solidFill>
                <a:srgbClr val="FFFFFF"/>
              </a:solidFill>
              <a:latin typeface="Cambria" panose="02040503050406030204" pitchFamily="18" charset="0"/>
            </a:rPr>
            <a:pPr algn="ctr" rtl="0"/>
            <a:t>NOTE
</a:t>
          </a:fld>
          <a:r>
            <a:rPr lang="en-US" sz="1200" b="0" i="0" u="none" strike="noStrike">
              <a:solidFill>
                <a:srgbClr val="FFFFFF"/>
              </a:solidFill>
              <a:latin typeface="Cambria" panose="02040503050406030204" pitchFamily="18" charset="0"/>
            </a:rPr>
            <a:t>CANTICO</a:t>
          </a:r>
          <a:r>
            <a:rPr lang="en-US" sz="1200" b="0" i="0" u="none" strike="noStrike" baseline="0">
              <a:solidFill>
                <a:srgbClr val="FFFFFF"/>
              </a:solidFill>
              <a:latin typeface="Cambria" panose="02040503050406030204" pitchFamily="18" charset="0"/>
            </a:rPr>
            <a:t> DEI</a:t>
          </a:r>
        </a:p>
        <a:p>
          <a:pPr algn="ctr" rtl="0"/>
          <a:r>
            <a:rPr lang="en-US" sz="1200" b="0" i="0" u="none" strike="noStrike" baseline="0">
              <a:solidFill>
                <a:srgbClr val="FFFFFF"/>
              </a:solidFill>
              <a:latin typeface="Cambria" panose="02040503050406030204" pitchFamily="18" charset="0"/>
            </a:rPr>
            <a:t>CANTICI</a:t>
          </a:r>
        </a:p>
        <a:p>
          <a:pPr algn="ctr" rtl="0"/>
          <a:r>
            <a:rPr lang="en-US" sz="1200" b="0" i="0" u="none" strike="noStrike" baseline="0">
              <a:solidFill>
                <a:srgbClr val="FFFFFF"/>
              </a:solidFill>
              <a:latin typeface="Cambria" panose="02040503050406030204" pitchFamily="18" charset="0"/>
            </a:rPr>
            <a:t>Il Cantico più Sublime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Presenta Gesù quale </a:t>
          </a:r>
        </a:p>
        <a:p>
          <a:pPr algn="ctr" rtl="0"/>
          <a:r>
            <a:rPr lang="en-US" sz="1200" b="0" i="0" u="none" strike="noStrike" baseline="0">
              <a:solidFill>
                <a:srgbClr val="FFFFFF"/>
              </a:solidFill>
              <a:latin typeface="Cambria" panose="02040503050406030204" pitchFamily="18" charset="0"/>
            </a:rPr>
            <a:t>Amante delle </a:t>
          </a:r>
        </a:p>
        <a:p>
          <a:pPr algn="ctr" rtl="0"/>
          <a:r>
            <a:rPr lang="en-US" sz="1200" b="0" i="0" u="none" strike="noStrike" baseline="0">
              <a:solidFill>
                <a:srgbClr val="FFFFFF"/>
              </a:solidFill>
              <a:latin typeface="Cambria" panose="02040503050406030204" pitchFamily="18" charset="0"/>
            </a:rPr>
            <a:t>Nostre Anime</a:t>
          </a:r>
        </a:p>
        <a:p>
          <a:pPr algn="ctr" rtl="0"/>
          <a:endParaRPr lang="en-US" sz="1200" b="0" i="0" u="none" strike="noStrike" baseline="0">
            <a:solidFill>
              <a:srgbClr val="FFFFFF"/>
            </a:solidFill>
            <a:latin typeface="Cambria" panose="02040503050406030204" pitchFamily="18" charset="0"/>
          </a:endParaRPr>
        </a:p>
        <a:p>
          <a:pPr algn="ctr" rtl="0"/>
          <a:r>
            <a:rPr lang="en-US" sz="1200" b="0" i="0" u="none" strike="noStrike" baseline="0">
              <a:solidFill>
                <a:srgbClr val="FFFFFF"/>
              </a:solidFill>
              <a:latin typeface="Cambria" panose="02040503050406030204" pitchFamily="18" charset="0"/>
            </a:rPr>
            <a:t>Verso Chiave: CDC 8:7</a:t>
          </a:r>
          <a:r>
            <a:rPr lang="en-US" sz="1200" b="0" i="0" u="none" strike="noStrike">
              <a:solidFill>
                <a:srgbClr val="FFFFFF"/>
              </a:solidFill>
              <a:latin typeface="Cambria" panose="02040503050406030204" pitchFamily="18" charset="0"/>
            </a:rPr>
            <a:t> </a:t>
          </a:r>
          <a:endParaRPr lang="en-US" sz="1200">
            <a:solidFill>
              <a:schemeClr val="bg1"/>
            </a:solidFill>
            <a:latin typeface="Cambria" panose="02040503050406030204" pitchFamily="18" charset="0"/>
          </a:endParaRPr>
        </a:p>
      </xdr:txBody>
    </xdr:sp>
    <xdr:clientData/>
  </xdr:twoCellAnchor>
  <xdr:twoCellAnchor>
    <xdr:from>
      <xdr:col>3</xdr:col>
      <xdr:colOff>95536</xdr:colOff>
      <xdr:row>273</xdr:row>
      <xdr:rowOff>569589</xdr:rowOff>
    </xdr:from>
    <xdr:to>
      <xdr:col>5</xdr:col>
      <xdr:colOff>327967</xdr:colOff>
      <xdr:row>289</xdr:row>
      <xdr:rowOff>0</xdr:rowOff>
    </xdr:to>
    <xdr:sp macro="" textlink="K275">
      <xdr:nvSpPr>
        <xdr:cNvPr id="69" name="CasellaDiTesto 68" descr="Note">
          <a:extLst>
            <a:ext uri="{FF2B5EF4-FFF2-40B4-BE49-F238E27FC236}">
              <a16:creationId xmlns:a16="http://schemas.microsoft.com/office/drawing/2014/main" id="{00000000-0008-0000-0000-000045000000}"/>
            </a:ext>
          </a:extLst>
        </xdr:cNvPr>
        <xdr:cNvSpPr txBox="1"/>
      </xdr:nvSpPr>
      <xdr:spPr>
        <a:xfrm>
          <a:off x="1823783" y="71545568"/>
          <a:ext cx="1672638" cy="37903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126A1C47-74A4-48DE-9C54-5F7BFA9F3ED7}" type="TxLink">
            <a:rPr lang="en-US" sz="1100" b="0" i="0" u="none" strike="noStrike">
              <a:solidFill>
                <a:srgbClr val="FFFFFF"/>
              </a:solidFill>
              <a:latin typeface="Cambria" panose="02040503050406030204" pitchFamily="18" charset="0"/>
            </a:rPr>
            <a:pPr algn="ctr" rtl="0"/>
            <a:t>NOTE
</a:t>
          </a:fld>
          <a:r>
            <a:rPr lang="en-US" sz="1100" b="0" i="0" u="none" strike="noStrike">
              <a:solidFill>
                <a:srgbClr val="FFFFFF"/>
              </a:solidFill>
              <a:latin typeface="Cambria" panose="02040503050406030204" pitchFamily="18" charset="0"/>
            </a:rPr>
            <a:t>GIOELE</a:t>
          </a:r>
          <a:r>
            <a:rPr lang="en-US" sz="1100" b="0" i="0" u="none" strike="noStrike" baseline="0">
              <a:solidFill>
                <a:srgbClr val="FFFFFF"/>
              </a:solidFill>
              <a:latin typeface="Cambria" panose="02040503050406030204" pitchFamily="18" charset="0"/>
            </a:rPr>
            <a:t> </a:t>
          </a:r>
        </a:p>
        <a:p>
          <a:pPr algn="ctr" rtl="0"/>
          <a:r>
            <a:rPr lang="en-US" sz="1100" b="0" i="0" u="none" strike="noStrike" baseline="0">
              <a:solidFill>
                <a:srgbClr val="FFFFFF"/>
              </a:solidFill>
              <a:latin typeface="Cambria" panose="02040503050406030204" pitchFamily="18" charset="0"/>
            </a:rPr>
            <a:t>L'Eterno è Dio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nostro Restauratore</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Gioele 2:28-29</a:t>
          </a:r>
        </a:p>
        <a:p>
          <a:pPr algn="ctr" rtl="0"/>
          <a:endParaRPr lang="en-US" sz="1100" b="0" i="0" u="none" strike="noStrike">
            <a:solidFill>
              <a:srgbClr val="FFFFFF"/>
            </a:solidFill>
            <a:latin typeface="Cambria" panose="02040503050406030204" pitchFamily="18" charset="0"/>
          </a:endParaRPr>
        </a:p>
        <a:p>
          <a:pPr algn="ctr" rtl="0"/>
          <a:r>
            <a:rPr lang="en-US" sz="1100" b="0" i="0" u="none" strike="noStrike">
              <a:solidFill>
                <a:srgbClr val="FFFFFF"/>
              </a:solidFill>
              <a:latin typeface="Cambria" panose="02040503050406030204" pitchFamily="18" charset="0"/>
            </a:rPr>
            <a:t>AMOS</a:t>
          </a:r>
        </a:p>
        <a:p>
          <a:pPr algn="ctr" rtl="0"/>
          <a:r>
            <a:rPr lang="en-US" sz="1100" b="0" i="0" u="none" strike="noStrike">
              <a:solidFill>
                <a:srgbClr val="FFFFFF"/>
              </a:solidFill>
              <a:latin typeface="Cambria" panose="02040503050406030204" pitchFamily="18" charset="0"/>
            </a:rPr>
            <a:t>Peso</a:t>
          </a:r>
          <a:r>
            <a:rPr lang="en-US" sz="1100" b="0" i="0" u="none" strike="noStrike" baseline="0">
              <a:solidFill>
                <a:srgbClr val="FFFFFF"/>
              </a:solidFill>
              <a:latin typeface="Cambria" panose="02040503050406030204" pitchFamily="18" charset="0"/>
            </a:rPr>
            <a:t> o Clolui che porta peso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Dio di Giustizia </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Amos 5:14</a:t>
          </a:r>
          <a:endParaRPr lang="en-US" sz="1100" b="0" i="0" u="none" strike="noStrike">
            <a:solidFill>
              <a:srgbClr val="FFFFFF"/>
            </a:solidFill>
            <a:latin typeface="Cambria" panose="02040503050406030204" pitchFamily="18" charset="0"/>
          </a:endParaRPr>
        </a:p>
      </xdr:txBody>
    </xdr:sp>
    <xdr:clientData/>
  </xdr:twoCellAnchor>
  <xdr:twoCellAnchor>
    <xdr:from>
      <xdr:col>5</xdr:col>
      <xdr:colOff>163970</xdr:colOff>
      <xdr:row>273</xdr:row>
      <xdr:rowOff>572135</xdr:rowOff>
    </xdr:from>
    <xdr:to>
      <xdr:col>7</xdr:col>
      <xdr:colOff>642845</xdr:colOff>
      <xdr:row>289</xdr:row>
      <xdr:rowOff>0</xdr:rowOff>
    </xdr:to>
    <xdr:sp macro="" textlink="K275">
      <xdr:nvSpPr>
        <xdr:cNvPr id="70" name="CasellaDiTesto 69" descr="Note">
          <a:extLst>
            <a:ext uri="{FF2B5EF4-FFF2-40B4-BE49-F238E27FC236}">
              <a16:creationId xmlns:a16="http://schemas.microsoft.com/office/drawing/2014/main" id="{00000000-0008-0000-0000-000046000000}"/>
            </a:ext>
          </a:extLst>
        </xdr:cNvPr>
        <xdr:cNvSpPr txBox="1"/>
      </xdr:nvSpPr>
      <xdr:spPr>
        <a:xfrm>
          <a:off x="3332424" y="71548114"/>
          <a:ext cx="1971452" cy="37877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126A1C47-74A4-48DE-9C54-5F7BFA9F3ED7}" type="TxLink">
            <a:rPr lang="en-US" sz="1100" b="0" i="0" u="none" strike="noStrike">
              <a:solidFill>
                <a:srgbClr val="FFFFFF"/>
              </a:solidFill>
              <a:latin typeface="Cambria" panose="02040503050406030204" pitchFamily="18" charset="0"/>
            </a:rPr>
            <a:pPr algn="ctr" rtl="0"/>
            <a:t>NOTE
</a:t>
          </a:fld>
          <a:r>
            <a:rPr lang="en-US" sz="1100" b="0" i="0" u="none" strike="noStrike">
              <a:solidFill>
                <a:srgbClr val="FFFFFF"/>
              </a:solidFill>
              <a:latin typeface="Cambria" panose="02040503050406030204" pitchFamily="18" charset="0"/>
            </a:rPr>
            <a:t>ABDIA</a:t>
          </a:r>
        </a:p>
        <a:p>
          <a:pPr algn="ctr" rtl="0"/>
          <a:r>
            <a:rPr lang="en-US" sz="1100" b="0" i="0" u="none" strike="noStrike" baseline="0">
              <a:solidFill>
                <a:srgbClr val="FFFFFF"/>
              </a:solidFill>
              <a:latin typeface="Cambria" panose="02040503050406030204" pitchFamily="18" charset="0"/>
            </a:rPr>
            <a:t>Servo o Adoratore dell'Eterno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difensore del Suo Popolo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Abdia 15</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GIONA</a:t>
          </a:r>
        </a:p>
        <a:p>
          <a:pPr algn="ctr" rtl="0"/>
          <a:r>
            <a:rPr lang="en-US" sz="1100" b="0" i="0" u="none" strike="noStrike" baseline="0">
              <a:solidFill>
                <a:srgbClr val="FFFFFF"/>
              </a:solidFill>
              <a:latin typeface="Cambria" panose="02040503050406030204" pitchFamily="18" charset="0"/>
            </a:rPr>
            <a:t>Colomba</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Nostra Resurrezione e Vita</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Giona 4:10-11</a:t>
          </a:r>
        </a:p>
      </xdr:txBody>
    </xdr:sp>
    <xdr:clientData/>
  </xdr:twoCellAnchor>
  <xdr:twoCellAnchor>
    <xdr:from>
      <xdr:col>7</xdr:col>
      <xdr:colOff>512978</xdr:colOff>
      <xdr:row>273</xdr:row>
      <xdr:rowOff>567097</xdr:rowOff>
    </xdr:from>
    <xdr:to>
      <xdr:col>9</xdr:col>
      <xdr:colOff>723999</xdr:colOff>
      <xdr:row>289</xdr:row>
      <xdr:rowOff>0</xdr:rowOff>
    </xdr:to>
    <xdr:sp macro="" textlink="K275">
      <xdr:nvSpPr>
        <xdr:cNvPr id="71" name="CasellaDiTesto 70" descr="Note">
          <a:extLst>
            <a:ext uri="{FF2B5EF4-FFF2-40B4-BE49-F238E27FC236}">
              <a16:creationId xmlns:a16="http://schemas.microsoft.com/office/drawing/2014/main" id="{00000000-0008-0000-0000-000047000000}"/>
            </a:ext>
          </a:extLst>
        </xdr:cNvPr>
        <xdr:cNvSpPr txBox="1"/>
      </xdr:nvSpPr>
      <xdr:spPr>
        <a:xfrm>
          <a:off x="5174009" y="71543076"/>
          <a:ext cx="1598856" cy="3884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126A1C47-74A4-48DE-9C54-5F7BFA9F3ED7}" type="TxLink">
            <a:rPr lang="en-US" sz="1100" b="0" i="0" u="none" strike="noStrike">
              <a:solidFill>
                <a:srgbClr val="FFFFFF"/>
              </a:solidFill>
              <a:latin typeface="Cambria" panose="02040503050406030204" pitchFamily="18" charset="0"/>
            </a:rPr>
            <a:pPr algn="ctr" rtl="0"/>
            <a:t>NOTE
</a:t>
          </a:fld>
          <a:r>
            <a:rPr lang="en-US" sz="1100" b="0" i="0" u="none" strike="noStrike">
              <a:solidFill>
                <a:srgbClr val="FFFFFF"/>
              </a:solidFill>
              <a:latin typeface="Cambria" panose="02040503050406030204" pitchFamily="18" charset="0"/>
            </a:rPr>
            <a:t>MICHEA</a:t>
          </a:r>
        </a:p>
        <a:p>
          <a:pPr algn="ctr" rtl="0"/>
          <a:r>
            <a:rPr lang="en-US" sz="1100" b="0" i="0" u="none" strike="noStrike">
              <a:solidFill>
                <a:srgbClr val="FFFFFF"/>
              </a:solidFill>
              <a:latin typeface="Cambria" panose="02040503050406030204" pitchFamily="18" charset="0"/>
            </a:rPr>
            <a:t>Chi è come</a:t>
          </a:r>
          <a:r>
            <a:rPr lang="en-US" sz="1100" b="0" i="0" u="none" strike="noStrike" baseline="0">
              <a:solidFill>
                <a:srgbClr val="FFFFFF"/>
              </a:solidFill>
              <a:latin typeface="Cambria" panose="02040503050406030204" pitchFamily="18" charset="0"/>
            </a:rPr>
            <a:t> l'Eterno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Eterno Conduttore</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Michea 5:1</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NAUM</a:t>
          </a:r>
        </a:p>
        <a:p>
          <a:pPr algn="ctr" rtl="0"/>
          <a:r>
            <a:rPr lang="en-US" sz="1100" b="0" i="0" u="none" strike="noStrike" baseline="0">
              <a:solidFill>
                <a:srgbClr val="FFFFFF"/>
              </a:solidFill>
              <a:latin typeface="Cambria" panose="02040503050406030204" pitchFamily="18" charset="0"/>
            </a:rPr>
            <a:t>Consolazione o Compassione</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Fortezza </a:t>
          </a:r>
        </a:p>
        <a:p>
          <a:pPr algn="ctr" rtl="0"/>
          <a:r>
            <a:rPr lang="en-US" sz="1100" b="0" i="0" u="none" strike="noStrike" baseline="0">
              <a:solidFill>
                <a:srgbClr val="FFFFFF"/>
              </a:solidFill>
              <a:latin typeface="Cambria" panose="02040503050406030204" pitchFamily="18" charset="0"/>
            </a:rPr>
            <a:t>nel giorno dell'avversità</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Naum 1:7-8</a:t>
          </a:r>
        </a:p>
        <a:p>
          <a:pPr algn="ctr" rtl="0"/>
          <a:endParaRPr lang="en-US" sz="1100" b="0" i="0" u="none" strike="noStrike">
            <a:solidFill>
              <a:srgbClr val="FFFFFF"/>
            </a:solidFill>
            <a:latin typeface="Cambria" panose="02040503050406030204" pitchFamily="18" charset="0"/>
          </a:endParaRPr>
        </a:p>
        <a:p>
          <a:pPr algn="ctr" rtl="0"/>
          <a:endParaRPr lang="en-US" sz="1100" b="0" i="0" u="none" strike="noStrike">
            <a:solidFill>
              <a:srgbClr val="FFFFFF"/>
            </a:solidFill>
            <a:latin typeface="Cambria" panose="02040503050406030204" pitchFamily="18" charset="0"/>
          </a:endParaRPr>
        </a:p>
      </xdr:txBody>
    </xdr:sp>
    <xdr:clientData/>
  </xdr:twoCellAnchor>
  <xdr:twoCellAnchor>
    <xdr:from>
      <xdr:col>9</xdr:col>
      <xdr:colOff>638927</xdr:colOff>
      <xdr:row>273</xdr:row>
      <xdr:rowOff>580189</xdr:rowOff>
    </xdr:from>
    <xdr:to>
      <xdr:col>11</xdr:col>
      <xdr:colOff>807966</xdr:colOff>
      <xdr:row>289</xdr:row>
      <xdr:rowOff>5410</xdr:rowOff>
    </xdr:to>
    <xdr:sp macro="" textlink="K275">
      <xdr:nvSpPr>
        <xdr:cNvPr id="72" name="CasellaDiTesto 71" descr="Note">
          <a:extLst>
            <a:ext uri="{FF2B5EF4-FFF2-40B4-BE49-F238E27FC236}">
              <a16:creationId xmlns:a16="http://schemas.microsoft.com/office/drawing/2014/main" id="{00000000-0008-0000-0000-000048000000}"/>
            </a:ext>
          </a:extLst>
        </xdr:cNvPr>
        <xdr:cNvSpPr txBox="1"/>
      </xdr:nvSpPr>
      <xdr:spPr>
        <a:xfrm>
          <a:off x="6687793" y="71556168"/>
          <a:ext cx="1556874" cy="387676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126A1C47-74A4-48DE-9C54-5F7BFA9F3ED7}" type="TxLink">
            <a:rPr lang="en-US" sz="1100" b="0" i="0" u="none" strike="noStrike">
              <a:solidFill>
                <a:srgbClr val="FFFFFF"/>
              </a:solidFill>
              <a:latin typeface="Cambria" panose="02040503050406030204" pitchFamily="18" charset="0"/>
            </a:rPr>
            <a:pPr algn="ctr" rtl="0"/>
            <a:t>NOTE
</a:t>
          </a:fld>
          <a:r>
            <a:rPr lang="en-US" sz="1100" b="0" i="0" u="none" strike="noStrike">
              <a:solidFill>
                <a:srgbClr val="FFFFFF"/>
              </a:solidFill>
              <a:latin typeface="Cambria" panose="02040503050406030204" pitchFamily="18" charset="0"/>
            </a:rPr>
            <a:t>ABACUC</a:t>
          </a:r>
        </a:p>
        <a:p>
          <a:pPr algn="ctr" rtl="0"/>
          <a:r>
            <a:rPr lang="en-US" sz="1100" b="0" i="0" u="none" strike="noStrike">
              <a:solidFill>
                <a:srgbClr val="FFFFFF"/>
              </a:solidFill>
              <a:latin typeface="Cambria" panose="02040503050406030204" pitchFamily="18" charset="0"/>
            </a:rPr>
            <a:t>Abbraccio</a:t>
          </a:r>
          <a:r>
            <a:rPr lang="en-US" sz="1100" b="0" i="0" u="none" strike="noStrike" baseline="0">
              <a:solidFill>
                <a:srgbClr val="FFFFFF"/>
              </a:solidFill>
              <a:latin typeface="Cambria" panose="02040503050406030204" pitchFamily="18" charset="0"/>
            </a:rPr>
            <a:t> srìtretto per consolare</a:t>
          </a:r>
        </a:p>
        <a:p>
          <a:pPr algn="ctr" rtl="0"/>
          <a:endParaRPr lang="en-US" sz="1100" b="0" i="0" u="none" strike="noStrike">
            <a:solidFill>
              <a:srgbClr val="FFFFFF"/>
            </a:solidFill>
            <a:latin typeface="Cambria" panose="02040503050406030204" pitchFamily="18" charset="0"/>
          </a:endParaRPr>
        </a:p>
        <a:p>
          <a:pPr algn="ctr" rtl="0"/>
          <a:r>
            <a:rPr lang="en-US" sz="1100" b="0" i="0" u="none" strike="noStrike">
              <a:solidFill>
                <a:srgbClr val="FFFFFF"/>
              </a:solidFill>
              <a:latin typeface="Cambria" panose="02040503050406030204" pitchFamily="18" charset="0"/>
            </a:rPr>
            <a:t>Presenta</a:t>
          </a:r>
          <a:r>
            <a:rPr lang="en-US" sz="1100" b="0" i="0" u="none" strike="noStrike" baseline="0">
              <a:solidFill>
                <a:srgbClr val="FFFFFF"/>
              </a:solidFill>
              <a:latin typeface="Cambria" panose="02040503050406030204" pitchFamily="18" charset="0"/>
            </a:rPr>
            <a:t> Gesù quale Dio della Salvezza</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Abacuc 2:4</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SOFONIA</a:t>
          </a:r>
        </a:p>
        <a:p>
          <a:pPr algn="ctr" rtl="0"/>
          <a:r>
            <a:rPr lang="en-US" sz="1100" b="0" i="0" u="none" strike="noStrike" baseline="0">
              <a:solidFill>
                <a:srgbClr val="FFFFFF"/>
              </a:solidFill>
              <a:latin typeface="Cambria" panose="02040503050406030204" pitchFamily="18" charset="0"/>
            </a:rPr>
            <a:t>Il protetto o nascosto dall'Eterno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Presenta Gesù quale Signore Geloso</a:t>
          </a:r>
        </a:p>
        <a:p>
          <a:pPr algn="ctr" rtl="0"/>
          <a:endParaRPr lang="en-US" sz="1100" b="0" i="0" u="none" strike="noStrike" baseline="0">
            <a:solidFill>
              <a:srgbClr val="FFFFFF"/>
            </a:solidFill>
            <a:latin typeface="Cambria" panose="02040503050406030204" pitchFamily="18" charset="0"/>
          </a:endParaRPr>
        </a:p>
        <a:p>
          <a:pPr algn="ctr" rtl="0"/>
          <a:r>
            <a:rPr lang="en-US" sz="1100" b="0" i="0" u="none" strike="noStrike" baseline="0">
              <a:solidFill>
                <a:srgbClr val="FFFFFF"/>
              </a:solidFill>
              <a:latin typeface="Cambria" panose="02040503050406030204" pitchFamily="18" charset="0"/>
            </a:rPr>
            <a:t>Verso Chiave: Sofonia 3:17</a:t>
          </a:r>
          <a:endParaRPr lang="en-US" sz="1100" b="0" i="0" u="none" strike="noStrike">
            <a:solidFill>
              <a:srgbClr val="FFFFFF"/>
            </a:solidFill>
            <a:latin typeface="Cambria" panose="02040503050406030204" pitchFamily="18" charset="0"/>
          </a:endParaRPr>
        </a:p>
      </xdr:txBody>
    </xdr:sp>
    <xdr:clientData/>
  </xdr:twoCellAnchor>
  <xdr:twoCellAnchor>
    <xdr:from>
      <xdr:col>11</xdr:col>
      <xdr:colOff>602268</xdr:colOff>
      <xdr:row>273</xdr:row>
      <xdr:rowOff>533274</xdr:rowOff>
    </xdr:from>
    <xdr:to>
      <xdr:col>15</xdr:col>
      <xdr:colOff>70267</xdr:colOff>
      <xdr:row>289</xdr:row>
      <xdr:rowOff>39276</xdr:rowOff>
    </xdr:to>
    <xdr:sp macro="" textlink="K275">
      <xdr:nvSpPr>
        <xdr:cNvPr id="73" name="CasellaDiTesto 72" descr="Note">
          <a:extLst>
            <a:ext uri="{FF2B5EF4-FFF2-40B4-BE49-F238E27FC236}">
              <a16:creationId xmlns:a16="http://schemas.microsoft.com/office/drawing/2014/main" id="{00000000-0008-0000-0000-000049000000}"/>
            </a:ext>
          </a:extLst>
        </xdr:cNvPr>
        <xdr:cNvSpPr txBox="1"/>
      </xdr:nvSpPr>
      <xdr:spPr>
        <a:xfrm>
          <a:off x="8038969" y="71509253"/>
          <a:ext cx="1903257" cy="39575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rtl="0"/>
          <a:fld id="{126A1C47-74A4-48DE-9C54-5F7BFA9F3ED7}" type="TxLink">
            <a:rPr lang="en-US" sz="1000" b="0" i="0" u="none" strike="noStrike">
              <a:solidFill>
                <a:srgbClr val="FFFFFF"/>
              </a:solidFill>
              <a:latin typeface="Cambria" panose="02040503050406030204" pitchFamily="18" charset="0"/>
            </a:rPr>
            <a:pPr algn="ctr" rtl="0"/>
            <a:t>NOTE
</a:t>
          </a:fld>
          <a:r>
            <a:rPr lang="en-US" sz="1000" b="0" i="0" u="none" strike="noStrike">
              <a:solidFill>
                <a:srgbClr val="FFFFFF"/>
              </a:solidFill>
              <a:latin typeface="Cambria" panose="02040503050406030204" pitchFamily="18" charset="0"/>
            </a:rPr>
            <a:t>AGGEO</a:t>
          </a:r>
        </a:p>
        <a:p>
          <a:pPr algn="ctr" rtl="0"/>
          <a:r>
            <a:rPr lang="en-US" sz="1000" b="0" i="0" u="none" strike="noStrike">
              <a:solidFill>
                <a:srgbClr val="FFFFFF"/>
              </a:solidFill>
              <a:latin typeface="Cambria" panose="02040503050406030204" pitchFamily="18" charset="0"/>
            </a:rPr>
            <a:t>Festivo</a:t>
          </a:r>
        </a:p>
        <a:p>
          <a:pPr algn="ctr" rtl="0"/>
          <a:endParaRPr lang="en-US" sz="1000" b="0" i="0" u="none" strike="noStrike">
            <a:solidFill>
              <a:srgbClr val="FFFFFF"/>
            </a:solidFill>
            <a:latin typeface="Cambria" panose="02040503050406030204" pitchFamily="18" charset="0"/>
          </a:endParaRPr>
        </a:p>
        <a:p>
          <a:pPr algn="ctr" rtl="0"/>
          <a:r>
            <a:rPr lang="en-US" sz="1000" b="0" i="0" u="none" strike="noStrike">
              <a:solidFill>
                <a:srgbClr val="FFFFFF"/>
              </a:solidFill>
              <a:latin typeface="Cambria" panose="02040503050406030204" pitchFamily="18" charset="0"/>
            </a:rPr>
            <a:t>Presenta</a:t>
          </a:r>
          <a:r>
            <a:rPr lang="en-US" sz="1000" b="0" i="0" u="none" strike="noStrike" baseline="0">
              <a:solidFill>
                <a:srgbClr val="FFFFFF"/>
              </a:solidFill>
              <a:latin typeface="Cambria" panose="02040503050406030204" pitchFamily="18" charset="0"/>
            </a:rPr>
            <a:t> Gesù quale desiderio delle Nazioni</a:t>
          </a:r>
        </a:p>
        <a:p>
          <a:pPr algn="ctr" rtl="0"/>
          <a:endParaRPr lang="en-US" sz="1000" b="0" i="0" u="none" strike="noStrike" baseline="0">
            <a:solidFill>
              <a:srgbClr val="FFFFFF"/>
            </a:solidFill>
            <a:latin typeface="Cambria" panose="02040503050406030204" pitchFamily="18" charset="0"/>
          </a:endParaRPr>
        </a:p>
        <a:p>
          <a:pPr algn="ctr" rtl="0"/>
          <a:r>
            <a:rPr lang="en-US" sz="1000" b="0" i="0" u="none" strike="noStrike" baseline="0">
              <a:solidFill>
                <a:srgbClr val="FFFFFF"/>
              </a:solidFill>
              <a:latin typeface="Cambria" panose="02040503050406030204" pitchFamily="18" charset="0"/>
            </a:rPr>
            <a:t>Verso Chiave: Aggeo 2:6-7</a:t>
          </a:r>
        </a:p>
        <a:p>
          <a:pPr algn="ctr" rtl="0"/>
          <a:endParaRPr lang="en-US" sz="1000" b="0" i="0" u="none" strike="noStrike" baseline="0">
            <a:solidFill>
              <a:srgbClr val="FFFFFF"/>
            </a:solidFill>
            <a:latin typeface="Cambria" panose="02040503050406030204" pitchFamily="18" charset="0"/>
          </a:endParaRPr>
        </a:p>
        <a:p>
          <a:pPr algn="ctr" rtl="0"/>
          <a:r>
            <a:rPr lang="en-US" sz="1000" b="0" i="0" u="none" strike="noStrike" baseline="0">
              <a:solidFill>
                <a:srgbClr val="FFFFFF"/>
              </a:solidFill>
              <a:latin typeface="Cambria" panose="02040503050406030204" pitchFamily="18" charset="0"/>
            </a:rPr>
            <a:t>ZACCARIA</a:t>
          </a:r>
        </a:p>
        <a:p>
          <a:pPr algn="ctr" rtl="0"/>
          <a:r>
            <a:rPr lang="en-US" sz="1000" b="0" i="0" u="none" strike="noStrike" baseline="0">
              <a:solidFill>
                <a:srgbClr val="FFFFFF"/>
              </a:solidFill>
              <a:latin typeface="Cambria" panose="02040503050406030204" pitchFamily="18" charset="0"/>
            </a:rPr>
            <a:t>Dio non dimentica</a:t>
          </a:r>
        </a:p>
        <a:p>
          <a:pPr algn="ctr" rtl="0"/>
          <a:endParaRPr lang="en-US" sz="1000" b="0" i="0" u="none" strike="noStrike" baseline="0">
            <a:solidFill>
              <a:srgbClr val="FFFFFF"/>
            </a:solidFill>
            <a:latin typeface="Cambria" panose="02040503050406030204" pitchFamily="18" charset="0"/>
          </a:endParaRPr>
        </a:p>
        <a:p>
          <a:pPr algn="ctr" rtl="0"/>
          <a:r>
            <a:rPr lang="en-US" sz="1000" b="0" i="0" u="none" strike="noStrike" baseline="0">
              <a:solidFill>
                <a:srgbClr val="FFFFFF"/>
              </a:solidFill>
              <a:latin typeface="Cambria" panose="02040503050406030204" pitchFamily="18" charset="0"/>
            </a:rPr>
            <a:t>Presenta Gesù quale Germoglio di Giustizia</a:t>
          </a:r>
        </a:p>
        <a:p>
          <a:pPr algn="ctr" rtl="0"/>
          <a:endParaRPr lang="en-US" sz="1000" b="0" i="0" u="none" strike="noStrike" baseline="0">
            <a:solidFill>
              <a:srgbClr val="FFFFFF"/>
            </a:solidFill>
            <a:latin typeface="Cambria" panose="02040503050406030204" pitchFamily="18" charset="0"/>
          </a:endParaRPr>
        </a:p>
        <a:p>
          <a:pPr algn="ctr" rtl="0"/>
          <a:r>
            <a:rPr lang="en-US" sz="1000" b="0" i="0" u="none" strike="noStrike" baseline="0">
              <a:solidFill>
                <a:srgbClr val="FFFFFF"/>
              </a:solidFill>
              <a:latin typeface="Cambria" panose="02040503050406030204" pitchFamily="18" charset="0"/>
            </a:rPr>
            <a:t>Verso Chiave: Zaccaria 8:2-3</a:t>
          </a:r>
        </a:p>
        <a:p>
          <a:pPr algn="ctr" rtl="0"/>
          <a:endParaRPr lang="en-US" sz="1000" b="0" i="0" u="none" strike="noStrike" baseline="0">
            <a:solidFill>
              <a:srgbClr val="FFFFFF"/>
            </a:solidFill>
            <a:latin typeface="Cambria" panose="02040503050406030204" pitchFamily="18" charset="0"/>
          </a:endParaRPr>
        </a:p>
        <a:p>
          <a:pPr algn="ctr" rtl="0"/>
          <a:r>
            <a:rPr lang="en-US" sz="1000" b="0" i="0" u="none" strike="noStrike" baseline="0">
              <a:solidFill>
                <a:srgbClr val="FFFFFF"/>
              </a:solidFill>
              <a:latin typeface="Cambria" panose="02040503050406030204" pitchFamily="18" charset="0"/>
            </a:rPr>
            <a:t>MALACHIA</a:t>
          </a:r>
        </a:p>
        <a:p>
          <a:pPr algn="ctr" rtl="0"/>
          <a:r>
            <a:rPr lang="en-US" sz="1000" b="0" i="0" u="none" strike="noStrike" baseline="0">
              <a:solidFill>
                <a:srgbClr val="FFFFFF"/>
              </a:solidFill>
              <a:latin typeface="Cambria" panose="02040503050406030204" pitchFamily="18" charset="0"/>
            </a:rPr>
            <a:t>Il Mio Messaggero</a:t>
          </a:r>
        </a:p>
        <a:p>
          <a:pPr algn="ctr" rtl="0"/>
          <a:endParaRPr lang="en-US" sz="1000" b="0" i="0" u="none" strike="noStrike" baseline="0">
            <a:solidFill>
              <a:srgbClr val="FFFFFF"/>
            </a:solidFill>
            <a:latin typeface="Cambria" panose="02040503050406030204" pitchFamily="18" charset="0"/>
          </a:endParaRPr>
        </a:p>
        <a:p>
          <a:pPr algn="ctr" rtl="0"/>
          <a:r>
            <a:rPr lang="en-US" sz="1000" b="0" i="0" u="none" strike="noStrike" baseline="0">
              <a:solidFill>
                <a:srgbClr val="FFFFFF"/>
              </a:solidFill>
              <a:latin typeface="Cambria" panose="02040503050406030204" pitchFamily="18" charset="0"/>
            </a:rPr>
            <a:t>Presenta Gesù quale Sole di Giustiizia</a:t>
          </a:r>
        </a:p>
        <a:p>
          <a:pPr algn="ctr" rtl="0"/>
          <a:endParaRPr lang="en-US" sz="1000" b="0" i="0" u="none" strike="noStrike" baseline="0">
            <a:solidFill>
              <a:srgbClr val="FFFFFF"/>
            </a:solidFill>
            <a:latin typeface="Cambria" panose="02040503050406030204" pitchFamily="18" charset="0"/>
          </a:endParaRPr>
        </a:p>
        <a:p>
          <a:pPr algn="ctr" rtl="0"/>
          <a:r>
            <a:rPr lang="en-US" sz="1000" b="0" i="0" u="none" strike="noStrike" baseline="0">
              <a:solidFill>
                <a:srgbClr val="FFFFFF"/>
              </a:solidFill>
              <a:latin typeface="Cambria" panose="02040503050406030204" pitchFamily="18" charset="0"/>
            </a:rPr>
            <a:t>Verso Chiave: Malachia 4:2</a:t>
          </a:r>
        </a:p>
        <a:p>
          <a:pPr algn="ctr" rtl="0"/>
          <a:endParaRPr lang="en-US" sz="1000" b="0" i="0" u="none" strike="noStrike">
            <a:solidFill>
              <a:srgbClr val="FFFFFF"/>
            </a:solidFill>
            <a:latin typeface="Cambria" panose="02040503050406030204" pitchFamily="18" charset="0"/>
          </a:endParaRPr>
        </a:p>
      </xdr:txBody>
    </xdr:sp>
    <xdr:clientData/>
  </xdr:twoCellAnchor>
  <xdr:twoCellAnchor editAs="oneCell">
    <xdr:from>
      <xdr:col>0</xdr:col>
      <xdr:colOff>132572</xdr:colOff>
      <xdr:row>285</xdr:row>
      <xdr:rowOff>225080</xdr:rowOff>
    </xdr:from>
    <xdr:to>
      <xdr:col>3</xdr:col>
      <xdr:colOff>696091</xdr:colOff>
      <xdr:row>291</xdr:row>
      <xdr:rowOff>189900</xdr:rowOff>
    </xdr:to>
    <xdr:pic>
      <xdr:nvPicPr>
        <xdr:cNvPr id="52" name="Immagin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5">
          <a:biLevel thresh="75000"/>
        </a:blip>
        <a:stretch>
          <a:fillRect/>
        </a:stretch>
      </xdr:blipFill>
      <xdr:spPr>
        <a:xfrm rot="852631">
          <a:off x="132572" y="74474255"/>
          <a:ext cx="2291766" cy="1365748"/>
        </a:xfrm>
        <a:prstGeom prst="rect">
          <a:avLst/>
        </a:prstGeom>
        <a:effectLst>
          <a:reflection blurRad="6350" stA="52000" endA="300" endPos="35000" dir="5400000" sy="-100000" algn="bl" rotWithShape="0"/>
        </a:effectLst>
      </xdr:spPr>
    </xdr:pic>
    <xdr:clientData/>
  </xdr:twoCellAnchor>
  <xdr:twoCellAnchor editAs="oneCell">
    <xdr:from>
      <xdr:col>1</xdr:col>
      <xdr:colOff>220414</xdr:colOff>
      <xdr:row>302</xdr:row>
      <xdr:rowOff>125949</xdr:rowOff>
    </xdr:from>
    <xdr:to>
      <xdr:col>7</xdr:col>
      <xdr:colOff>867094</xdr:colOff>
      <xdr:row>316</xdr:row>
      <xdr:rowOff>206555</xdr:rowOff>
    </xdr:to>
    <xdr:pic>
      <xdr:nvPicPr>
        <xdr:cNvPr id="64" name="Immagine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16"/>
        <a:stretch>
          <a:fillRect/>
        </a:stretch>
      </xdr:blipFill>
      <xdr:spPr>
        <a:xfrm>
          <a:off x="545786" y="120009751"/>
          <a:ext cx="4970003" cy="3313335"/>
        </a:xfrm>
        <a:prstGeom prst="rect">
          <a:avLst/>
        </a:prstGeom>
      </xdr:spPr>
    </xdr:pic>
    <xdr:clientData/>
  </xdr:twoCellAnchor>
  <xdr:twoCellAnchor editAs="oneCell">
    <xdr:from>
      <xdr:col>13</xdr:col>
      <xdr:colOff>383693</xdr:colOff>
      <xdr:row>302</xdr:row>
      <xdr:rowOff>108</xdr:rowOff>
    </xdr:from>
    <xdr:to>
      <xdr:col>15</xdr:col>
      <xdr:colOff>82543</xdr:colOff>
      <xdr:row>305</xdr:row>
      <xdr:rowOff>35583</xdr:rowOff>
    </xdr:to>
    <xdr:pic>
      <xdr:nvPicPr>
        <xdr:cNvPr id="60" name="Immagin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7"/>
        <a:stretch>
          <a:fillRect/>
        </a:stretch>
      </xdr:blipFill>
      <xdr:spPr>
        <a:xfrm>
          <a:off x="9221322" y="111851757"/>
          <a:ext cx="733180" cy="703207"/>
        </a:xfrm>
        <a:prstGeom prst="rect">
          <a:avLst/>
        </a:prstGeom>
      </xdr:spPr>
    </xdr:pic>
    <xdr:clientData/>
  </xdr:twoCellAnchor>
  <xdr:twoCellAnchor editAs="oneCell">
    <xdr:from>
      <xdr:col>13</xdr:col>
      <xdr:colOff>510065</xdr:colOff>
      <xdr:row>273</xdr:row>
      <xdr:rowOff>589175</xdr:rowOff>
    </xdr:from>
    <xdr:to>
      <xdr:col>15</xdr:col>
      <xdr:colOff>98497</xdr:colOff>
      <xdr:row>275</xdr:row>
      <xdr:rowOff>171780</xdr:rowOff>
    </xdr:to>
    <xdr:pic>
      <xdr:nvPicPr>
        <xdr:cNvPr id="74" name="Immagin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17"/>
        <a:stretch>
          <a:fillRect/>
        </a:stretch>
      </xdr:blipFill>
      <xdr:spPr>
        <a:xfrm>
          <a:off x="9347694" y="71565154"/>
          <a:ext cx="622762" cy="603921"/>
        </a:xfrm>
        <a:prstGeom prst="rect">
          <a:avLst/>
        </a:prstGeom>
      </xdr:spPr>
    </xdr:pic>
    <xdr:clientData/>
  </xdr:twoCellAnchor>
  <xdr:twoCellAnchor editAs="oneCell">
    <xdr:from>
      <xdr:col>13</xdr:col>
      <xdr:colOff>418090</xdr:colOff>
      <xdr:row>250</xdr:row>
      <xdr:rowOff>29416</xdr:rowOff>
    </xdr:from>
    <xdr:to>
      <xdr:col>15</xdr:col>
      <xdr:colOff>106940</xdr:colOff>
      <xdr:row>253</xdr:row>
      <xdr:rowOff>33404</xdr:rowOff>
    </xdr:to>
    <xdr:pic>
      <xdr:nvPicPr>
        <xdr:cNvPr id="75" name="Immagin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17"/>
        <a:stretch>
          <a:fillRect/>
        </a:stretch>
      </xdr:blipFill>
      <xdr:spPr>
        <a:xfrm>
          <a:off x="9255719" y="90395808"/>
          <a:ext cx="730800" cy="710999"/>
        </a:xfrm>
        <a:prstGeom prst="rect">
          <a:avLst/>
        </a:prstGeom>
      </xdr:spPr>
    </xdr:pic>
    <xdr:clientData/>
  </xdr:twoCellAnchor>
  <xdr:twoCellAnchor editAs="oneCell">
    <xdr:from>
      <xdr:col>13</xdr:col>
      <xdr:colOff>413052</xdr:colOff>
      <xdr:row>221</xdr:row>
      <xdr:rowOff>42666</xdr:rowOff>
    </xdr:from>
    <xdr:to>
      <xdr:col>16</xdr:col>
      <xdr:colOff>2104</xdr:colOff>
      <xdr:row>224</xdr:row>
      <xdr:rowOff>46655</xdr:rowOff>
    </xdr:to>
    <xdr:pic>
      <xdr:nvPicPr>
        <xdr:cNvPr id="76" name="Immagin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7"/>
        <a:stretch>
          <a:fillRect/>
        </a:stretch>
      </xdr:blipFill>
      <xdr:spPr>
        <a:xfrm>
          <a:off x="9250681" y="80537099"/>
          <a:ext cx="730800" cy="711000"/>
        </a:xfrm>
        <a:prstGeom prst="rect">
          <a:avLst/>
        </a:prstGeom>
      </xdr:spPr>
    </xdr:pic>
    <xdr:clientData/>
  </xdr:twoCellAnchor>
  <xdr:twoCellAnchor editAs="oneCell">
    <xdr:from>
      <xdr:col>13</xdr:col>
      <xdr:colOff>379340</xdr:colOff>
      <xdr:row>192</xdr:row>
      <xdr:rowOff>637191</xdr:rowOff>
    </xdr:from>
    <xdr:to>
      <xdr:col>15</xdr:col>
      <xdr:colOff>78190</xdr:colOff>
      <xdr:row>195</xdr:row>
      <xdr:rowOff>196025</xdr:rowOff>
    </xdr:to>
    <xdr:pic>
      <xdr:nvPicPr>
        <xdr:cNvPr id="77" name="Immagin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7"/>
        <a:stretch>
          <a:fillRect/>
        </a:stretch>
      </xdr:blipFill>
      <xdr:spPr>
        <a:xfrm>
          <a:off x="9216969" y="70578840"/>
          <a:ext cx="733180" cy="710998"/>
        </a:xfrm>
        <a:prstGeom prst="rect">
          <a:avLst/>
        </a:prstGeom>
      </xdr:spPr>
    </xdr:pic>
    <xdr:clientData/>
  </xdr:twoCellAnchor>
  <xdr:twoCellAnchor editAs="oneCell">
    <xdr:from>
      <xdr:col>13</xdr:col>
      <xdr:colOff>408280</xdr:colOff>
      <xdr:row>167</xdr:row>
      <xdr:rowOff>108657</xdr:rowOff>
    </xdr:from>
    <xdr:to>
      <xdr:col>15</xdr:col>
      <xdr:colOff>104750</xdr:colOff>
      <xdr:row>170</xdr:row>
      <xdr:rowOff>112645</xdr:rowOff>
    </xdr:to>
    <xdr:pic>
      <xdr:nvPicPr>
        <xdr:cNvPr id="78" name="Immagin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17"/>
        <a:stretch>
          <a:fillRect/>
        </a:stretch>
      </xdr:blipFill>
      <xdr:spPr>
        <a:xfrm>
          <a:off x="9245909" y="60152162"/>
          <a:ext cx="730800" cy="710998"/>
        </a:xfrm>
        <a:prstGeom prst="rect">
          <a:avLst/>
        </a:prstGeom>
      </xdr:spPr>
    </xdr:pic>
    <xdr:clientData/>
  </xdr:twoCellAnchor>
  <xdr:twoCellAnchor editAs="oneCell">
    <xdr:from>
      <xdr:col>13</xdr:col>
      <xdr:colOff>476605</xdr:colOff>
      <xdr:row>140</xdr:row>
      <xdr:rowOff>666499</xdr:rowOff>
    </xdr:from>
    <xdr:to>
      <xdr:col>16</xdr:col>
      <xdr:colOff>57620</xdr:colOff>
      <xdr:row>143</xdr:row>
      <xdr:rowOff>225333</xdr:rowOff>
    </xdr:to>
    <xdr:pic>
      <xdr:nvPicPr>
        <xdr:cNvPr id="79" name="Immagin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7"/>
        <a:stretch>
          <a:fillRect/>
        </a:stretch>
      </xdr:blipFill>
      <xdr:spPr>
        <a:xfrm>
          <a:off x="9314234" y="50157221"/>
          <a:ext cx="733180" cy="710999"/>
        </a:xfrm>
        <a:prstGeom prst="rect">
          <a:avLst/>
        </a:prstGeom>
      </xdr:spPr>
    </xdr:pic>
    <xdr:clientData/>
  </xdr:twoCellAnchor>
  <xdr:twoCellAnchor editAs="oneCell">
    <xdr:from>
      <xdr:col>13</xdr:col>
      <xdr:colOff>440079</xdr:colOff>
      <xdr:row>113</xdr:row>
      <xdr:rowOff>22512</xdr:rowOff>
    </xdr:from>
    <xdr:to>
      <xdr:col>16</xdr:col>
      <xdr:colOff>18714</xdr:colOff>
      <xdr:row>116</xdr:row>
      <xdr:rowOff>26502</xdr:rowOff>
    </xdr:to>
    <xdr:pic>
      <xdr:nvPicPr>
        <xdr:cNvPr id="80" name="Immagin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7"/>
        <a:stretch>
          <a:fillRect/>
        </a:stretch>
      </xdr:blipFill>
      <xdr:spPr>
        <a:xfrm>
          <a:off x="9277708" y="40322100"/>
          <a:ext cx="730800" cy="710999"/>
        </a:xfrm>
        <a:prstGeom prst="rect">
          <a:avLst/>
        </a:prstGeom>
      </xdr:spPr>
    </xdr:pic>
    <xdr:clientData/>
  </xdr:twoCellAnchor>
  <xdr:twoCellAnchor editAs="oneCell">
    <xdr:from>
      <xdr:col>13</xdr:col>
      <xdr:colOff>369685</xdr:colOff>
      <xdr:row>85</xdr:row>
      <xdr:rowOff>27971</xdr:rowOff>
    </xdr:from>
    <xdr:to>
      <xdr:col>15</xdr:col>
      <xdr:colOff>68535</xdr:colOff>
      <xdr:row>88</xdr:row>
      <xdr:rowOff>31959</xdr:rowOff>
    </xdr:to>
    <xdr:pic>
      <xdr:nvPicPr>
        <xdr:cNvPr id="81" name="Immagin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17"/>
        <a:stretch>
          <a:fillRect/>
        </a:stretch>
      </xdr:blipFill>
      <xdr:spPr>
        <a:xfrm>
          <a:off x="9207314" y="30455600"/>
          <a:ext cx="733180" cy="710998"/>
        </a:xfrm>
        <a:prstGeom prst="rect">
          <a:avLst/>
        </a:prstGeom>
      </xdr:spPr>
    </xdr:pic>
    <xdr:clientData/>
  </xdr:twoCellAnchor>
  <xdr:twoCellAnchor editAs="oneCell">
    <xdr:from>
      <xdr:col>13</xdr:col>
      <xdr:colOff>448506</xdr:colOff>
      <xdr:row>56</xdr:row>
      <xdr:rowOff>669673</xdr:rowOff>
    </xdr:from>
    <xdr:to>
      <xdr:col>16</xdr:col>
      <xdr:colOff>29521</xdr:colOff>
      <xdr:row>59</xdr:row>
      <xdr:rowOff>228506</xdr:rowOff>
    </xdr:to>
    <xdr:pic>
      <xdr:nvPicPr>
        <xdr:cNvPr id="82" name="Immagin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7"/>
        <a:stretch>
          <a:fillRect/>
        </a:stretch>
      </xdr:blipFill>
      <xdr:spPr>
        <a:xfrm>
          <a:off x="9286135" y="20544518"/>
          <a:ext cx="733180" cy="710998"/>
        </a:xfrm>
        <a:prstGeom prst="rect">
          <a:avLst/>
        </a:prstGeom>
      </xdr:spPr>
    </xdr:pic>
    <xdr:clientData/>
  </xdr:twoCellAnchor>
  <xdr:twoCellAnchor editAs="oneCell">
    <xdr:from>
      <xdr:col>13</xdr:col>
      <xdr:colOff>409276</xdr:colOff>
      <xdr:row>27</xdr:row>
      <xdr:rowOff>680432</xdr:rowOff>
    </xdr:from>
    <xdr:to>
      <xdr:col>15</xdr:col>
      <xdr:colOff>105746</xdr:colOff>
      <xdr:row>31</xdr:row>
      <xdr:rowOff>35083</xdr:rowOff>
    </xdr:to>
    <xdr:pic>
      <xdr:nvPicPr>
        <xdr:cNvPr id="83" name="Immagin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7"/>
        <a:stretch>
          <a:fillRect/>
        </a:stretch>
      </xdr:blipFill>
      <xdr:spPr>
        <a:xfrm>
          <a:off x="9246905" y="10879710"/>
          <a:ext cx="730800" cy="703207"/>
        </a:xfrm>
        <a:prstGeom prst="rect">
          <a:avLst/>
        </a:prstGeom>
      </xdr:spPr>
    </xdr:pic>
    <xdr:clientData/>
  </xdr:twoCellAnchor>
  <xdr:twoCellAnchor editAs="oneCell">
    <xdr:from>
      <xdr:col>13</xdr:col>
      <xdr:colOff>399043</xdr:colOff>
      <xdr:row>1</xdr:row>
      <xdr:rowOff>33847</xdr:rowOff>
    </xdr:from>
    <xdr:to>
      <xdr:col>15</xdr:col>
      <xdr:colOff>95513</xdr:colOff>
      <xdr:row>4</xdr:row>
      <xdr:rowOff>130928</xdr:rowOff>
    </xdr:to>
    <xdr:pic>
      <xdr:nvPicPr>
        <xdr:cNvPr id="84" name="Immagin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7"/>
        <a:stretch>
          <a:fillRect/>
        </a:stretch>
      </xdr:blipFill>
      <xdr:spPr>
        <a:xfrm>
          <a:off x="9236672" y="557558"/>
          <a:ext cx="730800" cy="764813"/>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hatch">
  <a:themeElements>
    <a:clrScheme name="Family Calendar 1">
      <a:dk1>
        <a:sysClr val="windowText" lastClr="000000"/>
      </a:dk1>
      <a:lt1>
        <a:sysClr val="window" lastClr="FFFFFF"/>
      </a:lt1>
      <a:dk2>
        <a:srgbClr val="4E5B6F"/>
      </a:dk2>
      <a:lt2>
        <a:srgbClr val="D6ECFF"/>
      </a:lt2>
      <a:accent1>
        <a:srgbClr val="56B0AD"/>
      </a:accent1>
      <a:accent2>
        <a:srgbClr val="74AA15"/>
      </a:accent2>
      <a:accent3>
        <a:srgbClr val="F4DB0B"/>
      </a:accent3>
      <a:accent4>
        <a:srgbClr val="F45500"/>
      </a:accent4>
      <a:accent5>
        <a:srgbClr val="EB8803"/>
      </a:accent5>
      <a:accent6>
        <a:srgbClr val="7030A0"/>
      </a:accent6>
      <a:hlink>
        <a:srgbClr val="425EA9"/>
      </a:hlink>
      <a:folHlink>
        <a:srgbClr val="AAB8DE"/>
      </a:folHlink>
    </a:clrScheme>
    <a:fontScheme name="Family Calendar 1">
      <a:majorFont>
        <a:latin typeface="Cambria"/>
        <a:ea typeface=""/>
        <a:cs typeface=""/>
      </a:majorFont>
      <a:minorFont>
        <a:latin typeface="Cambria"/>
        <a:ea typeface=""/>
        <a:cs typeface=""/>
      </a:minorFont>
    </a:fontScheme>
    <a:fmtScheme name="Thatch">
      <a:fillStyleLst>
        <a:solidFill>
          <a:schemeClr val="phClr"/>
        </a:solidFill>
        <a:gradFill rotWithShape="1">
          <a:gsLst>
            <a:gs pos="0">
              <a:schemeClr val="phClr">
                <a:tint val="79000"/>
                <a:satMod val="180000"/>
              </a:schemeClr>
            </a:gs>
            <a:gs pos="65000">
              <a:schemeClr val="phClr">
                <a:tint val="52000"/>
                <a:satMod val="250000"/>
              </a:schemeClr>
            </a:gs>
            <a:gs pos="100000">
              <a:schemeClr val="phClr">
                <a:tint val="29000"/>
                <a:satMod val="300000"/>
              </a:schemeClr>
            </a:gs>
          </a:gsLst>
          <a:lin ang="16200000" scaled="0"/>
        </a:gradFill>
        <a:gradFill rotWithShape="1">
          <a:gsLst>
            <a:gs pos="0">
              <a:schemeClr val="phClr">
                <a:shade val="15000"/>
                <a:satMod val="180000"/>
              </a:schemeClr>
            </a:gs>
            <a:gs pos="50000">
              <a:schemeClr val="phClr">
                <a:shade val="45000"/>
                <a:satMod val="170000"/>
              </a:schemeClr>
            </a:gs>
            <a:gs pos="70000">
              <a:schemeClr val="phClr">
                <a:tint val="99000"/>
                <a:shade val="65000"/>
                <a:satMod val="155000"/>
              </a:schemeClr>
            </a:gs>
            <a:gs pos="100000">
              <a:schemeClr val="phClr">
                <a:tint val="95500"/>
                <a:shade val="100000"/>
                <a:satMod val="155000"/>
              </a:schemeClr>
            </a:gs>
          </a:gsLst>
          <a:lin ang="16200000" scaled="0"/>
        </a:gradFill>
      </a:fillStyleLst>
      <a:lnStyleLst>
        <a:ln w="9525" cap="flat" cmpd="sng" algn="ctr">
          <a:solidFill>
            <a:schemeClr val="phClr"/>
          </a:solidFill>
          <a:prstDash val="solid"/>
        </a:ln>
        <a:ln w="15875" cap="flat" cmpd="sng" algn="ctr">
          <a:solidFill>
            <a:schemeClr val="phClr"/>
          </a:solidFill>
          <a:prstDash val="solid"/>
        </a:ln>
        <a:ln w="38100" cap="flat" cmpd="sng" algn="ctr">
          <a:solidFill>
            <a:schemeClr val="phClr"/>
          </a:solidFill>
          <a:prstDash val="solid"/>
        </a:ln>
      </a:lnStyleLst>
      <a:effectStyleLst>
        <a:effectStyle>
          <a:effectLst>
            <a:outerShdw blurRad="63500" dist="25400" dir="5400000" rotWithShape="0">
              <a:srgbClr val="000000">
                <a:alpha val="43000"/>
              </a:srgbClr>
            </a:outerShdw>
          </a:effectLst>
        </a:effectStyle>
        <a:effectStyle>
          <a:effectLst>
            <a:outerShdw blurRad="63500" dist="25400" dir="5400000" rotWithShape="0">
              <a:srgbClr val="000000">
                <a:alpha val="43000"/>
              </a:srgbClr>
            </a:outerShdw>
          </a:effectLst>
          <a:scene3d>
            <a:camera prst="orthographicFront">
              <a:rot lat="0" lon="0" rev="0"/>
            </a:camera>
            <a:lightRig rig="brightRoom" dir="t">
              <a:rot lat="0" lon="0" rev="8700000"/>
            </a:lightRig>
          </a:scene3d>
          <a:sp3d contourW="12700" prstMaterial="dkEdge">
            <a:bevelT w="0" h="0" prst="relaxedInset"/>
            <a:contourClr>
              <a:schemeClr val="phClr">
                <a:shade val="65000"/>
                <a:satMod val="150000"/>
              </a:schemeClr>
            </a:contourClr>
          </a:sp3d>
        </a:effectStyle>
        <a:effectStyle>
          <a:effectLst>
            <a:outerShdw blurRad="63500" dist="25400" dir="5400000" rotWithShape="0">
              <a:srgbClr val="000000">
                <a:alpha val="43000"/>
              </a:srgbClr>
            </a:outerShdw>
          </a:effectLst>
          <a:scene3d>
            <a:camera prst="orthographicFront">
              <a:rot lat="0" lon="0" rev="0"/>
            </a:camera>
            <a:lightRig rig="glow" dir="t">
              <a:rot lat="0" lon="0" rev="13200000"/>
            </a:lightRig>
          </a:scene3d>
          <a:sp3d prstMaterial="dkEdge">
            <a:bevelT w="63500" h="50800" prst="relaxedInset"/>
          </a:sp3d>
        </a:effectStyle>
      </a:effectStyleLst>
      <a:bgFillStyleLst>
        <a:solidFill>
          <a:schemeClr val="phClr"/>
        </a:solidFill>
        <a:gradFill rotWithShape="1">
          <a:gsLst>
            <a:gs pos="0">
              <a:schemeClr val="phClr">
                <a:tint val="85000"/>
                <a:shade val="95000"/>
                <a:satMod val="200000"/>
              </a:schemeClr>
            </a:gs>
            <a:gs pos="53000">
              <a:schemeClr val="phClr">
                <a:shade val="60000"/>
                <a:satMod val="220000"/>
              </a:schemeClr>
            </a:gs>
            <a:gs pos="100000">
              <a:schemeClr val="phClr">
                <a:shade val="45000"/>
                <a:satMod val="220000"/>
              </a:schemeClr>
            </a:gs>
          </a:gsLst>
          <a:lin ang="16200000" scaled="0"/>
        </a:gradFill>
        <a:gradFill rotWithShape="1">
          <a:gsLst>
            <a:gs pos="0">
              <a:schemeClr val="phClr">
                <a:tint val="83000"/>
                <a:shade val="97000"/>
                <a:satMod val="230000"/>
              </a:schemeClr>
            </a:gs>
            <a:gs pos="100000">
              <a:schemeClr val="phClr">
                <a:shade val="35000"/>
                <a:satMod val="250000"/>
              </a:schemeClr>
            </a:gs>
          </a:gsLst>
          <a:path path="circle">
            <a:fillToRect l="15000" t="50000" r="85000" b="6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 Id="rId5" Type="http://schemas.openxmlformats.org/officeDocument/2006/relationships/ctrlProp" Target="../ctrlProps/ctrlProp1.xml"/><Relationship Id="rId4"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autoPageBreaks="0" fitToPage="1"/>
  </sheetPr>
  <dimension ref="A1:V330"/>
  <sheetViews>
    <sheetView showGridLines="0" tabSelected="1" topLeftCell="A269" zoomScale="99" zoomScaleNormal="99" workbookViewId="0">
      <selection activeCell="A301" sqref="A301:XFD301"/>
    </sheetView>
  </sheetViews>
  <sheetFormatPr defaultColWidth="6.7265625" defaultRowHeight="13.8"/>
  <cols>
    <col min="1" max="1" width="3.7265625" style="19" customWidth="1"/>
    <col min="2" max="2" width="12.26953125" style="1" customWidth="1"/>
    <col min="3" max="3" width="3.54296875" style="1" customWidth="1"/>
    <col min="4" max="4" width="12.453125" style="1" customWidth="1"/>
    <col min="5" max="5" width="3.81640625" style="1" customWidth="1"/>
    <col min="6" max="6" width="12.453125" style="1" customWidth="1"/>
    <col min="7" max="7" width="4.453125" style="1" customWidth="1"/>
    <col min="8" max="8" width="11.81640625" style="1" customWidth="1"/>
    <col min="9" max="9" width="3.7265625" style="1" customWidth="1"/>
    <col min="10" max="10" width="12" style="1" customWidth="1"/>
    <col min="11" max="11" width="3.7265625" style="1" customWidth="1"/>
    <col min="12" max="12" width="12" style="1" customWidth="1"/>
    <col min="13" max="13" width="3.81640625" style="1" customWidth="1"/>
    <col min="14" max="14" width="8.54296875" style="1" customWidth="1"/>
    <col min="15" max="15" width="3.1796875" style="1" customWidth="1"/>
    <col min="16" max="16" width="1.26953125" style="1" customWidth="1"/>
    <col min="17" max="17" width="3.1796875" style="1" customWidth="1"/>
    <col min="18" max="16384" width="6.7265625" style="1"/>
  </cols>
  <sheetData>
    <row r="1" spans="1:21" s="46" customFormat="1" ht="40.950000000000003" customHeight="1">
      <c r="A1" s="45" t="s">
        <v>0</v>
      </c>
      <c r="B1" s="97" t="str">
        <f>TEXT(DATE(AnnoCalendario,1,1),"mmmm")</f>
        <v>gennaio</v>
      </c>
      <c r="C1" s="97"/>
      <c r="D1" s="97"/>
      <c r="E1" s="97"/>
      <c r="F1" s="97"/>
      <c r="G1" s="97"/>
      <c r="H1" s="97"/>
      <c r="I1" s="97"/>
      <c r="J1" s="101" t="s">
        <v>1</v>
      </c>
      <c r="K1" s="102"/>
      <c r="L1" s="102"/>
      <c r="M1" s="100">
        <v>2025</v>
      </c>
      <c r="N1" s="100"/>
      <c r="O1" s="100"/>
      <c r="P1" s="100"/>
      <c r="R1" s="96" t="s">
        <v>2</v>
      </c>
      <c r="S1" s="96"/>
      <c r="T1" s="96"/>
      <c r="U1" s="96"/>
    </row>
    <row r="2" spans="1:21" ht="18.75" customHeight="1">
      <c r="A2" s="20" t="s">
        <v>3</v>
      </c>
      <c r="B2" s="91"/>
      <c r="C2" s="91"/>
      <c r="D2" s="91"/>
      <c r="E2" s="91"/>
      <c r="F2" s="91"/>
      <c r="G2" s="91"/>
      <c r="H2" s="91"/>
      <c r="I2" s="91"/>
      <c r="J2" s="116" t="s">
        <v>4</v>
      </c>
      <c r="K2" s="117"/>
      <c r="L2" s="117"/>
      <c r="M2" s="117"/>
      <c r="R2" s="115"/>
      <c r="S2" s="115"/>
      <c r="T2" s="115"/>
      <c r="U2" s="115"/>
    </row>
    <row r="3" spans="1:21" ht="18.75" customHeight="1">
      <c r="A3" s="20"/>
      <c r="B3" s="91"/>
      <c r="C3" s="91"/>
      <c r="D3" s="91"/>
      <c r="E3" s="91"/>
      <c r="F3" s="91"/>
      <c r="G3" s="91"/>
      <c r="H3" s="91"/>
      <c r="I3" s="91"/>
      <c r="J3" s="117"/>
      <c r="K3" s="117"/>
      <c r="L3" s="117"/>
      <c r="M3" s="117"/>
      <c r="R3" s="115"/>
      <c r="S3" s="115"/>
      <c r="T3" s="115"/>
      <c r="U3" s="115"/>
    </row>
    <row r="4" spans="1:21" ht="18.75" customHeight="1">
      <c r="A4" s="20"/>
      <c r="B4" s="91"/>
      <c r="C4" s="91"/>
      <c r="D4" s="91"/>
      <c r="E4" s="91"/>
      <c r="F4" s="91"/>
      <c r="G4" s="91"/>
      <c r="H4" s="91"/>
      <c r="I4" s="91"/>
      <c r="J4" s="117"/>
      <c r="K4" s="117"/>
      <c r="L4" s="117"/>
      <c r="M4" s="117"/>
      <c r="R4" s="115"/>
      <c r="S4" s="115"/>
      <c r="T4" s="115"/>
      <c r="U4" s="115"/>
    </row>
    <row r="5" spans="1:21" ht="18.75" customHeight="1">
      <c r="A5" s="20"/>
      <c r="B5" s="91"/>
      <c r="C5" s="91"/>
      <c r="D5" s="91"/>
      <c r="E5" s="91"/>
      <c r="F5" s="91"/>
      <c r="G5" s="91"/>
      <c r="H5" s="91"/>
      <c r="I5" s="91"/>
      <c r="J5" s="117"/>
      <c r="K5" s="117"/>
      <c r="L5" s="117"/>
      <c r="M5" s="117"/>
      <c r="R5" s="115"/>
      <c r="S5" s="115"/>
      <c r="T5" s="115"/>
      <c r="U5" s="115"/>
    </row>
    <row r="6" spans="1:21" ht="18.75" customHeight="1">
      <c r="A6" s="20"/>
      <c r="B6" s="91"/>
      <c r="C6" s="91"/>
      <c r="D6" s="91"/>
      <c r="E6" s="91"/>
      <c r="F6" s="91"/>
      <c r="G6" s="91"/>
      <c r="H6" s="91"/>
      <c r="I6" s="91"/>
      <c r="J6" s="117"/>
      <c r="K6" s="117"/>
      <c r="L6" s="117"/>
      <c r="M6" s="117"/>
      <c r="R6" s="115"/>
      <c r="S6" s="115"/>
      <c r="T6" s="115"/>
      <c r="U6" s="115"/>
    </row>
    <row r="7" spans="1:21" ht="18.75" customHeight="1">
      <c r="A7" s="20"/>
      <c r="B7" s="91"/>
      <c r="C7" s="91"/>
      <c r="D7" s="91"/>
      <c r="E7" s="91"/>
      <c r="F7" s="91"/>
      <c r="G7" s="91"/>
      <c r="H7" s="91"/>
      <c r="I7" s="91"/>
      <c r="J7" s="117"/>
      <c r="K7" s="117"/>
      <c r="L7" s="117"/>
      <c r="M7" s="117"/>
      <c r="R7" s="115"/>
      <c r="S7" s="115"/>
      <c r="T7" s="115"/>
      <c r="U7" s="115"/>
    </row>
    <row r="8" spans="1:21" ht="18.75" customHeight="1">
      <c r="A8" s="20"/>
      <c r="B8" s="91"/>
      <c r="C8" s="91"/>
      <c r="D8" s="91"/>
      <c r="E8" s="91"/>
      <c r="F8" s="91"/>
      <c r="G8" s="91"/>
      <c r="H8" s="91"/>
      <c r="I8" s="91"/>
      <c r="J8" s="117"/>
      <c r="K8" s="117"/>
      <c r="L8" s="117"/>
      <c r="M8" s="117"/>
      <c r="R8" s="115"/>
      <c r="S8" s="115"/>
      <c r="T8" s="115"/>
      <c r="U8" s="115"/>
    </row>
    <row r="9" spans="1:21" ht="18.75" customHeight="1">
      <c r="A9" s="20"/>
      <c r="B9" s="91"/>
      <c r="C9" s="91"/>
      <c r="D9" s="91"/>
      <c r="E9" s="91"/>
      <c r="F9" s="91"/>
      <c r="G9" s="91"/>
      <c r="H9" s="91"/>
      <c r="I9" s="91"/>
      <c r="J9" s="117"/>
      <c r="K9" s="117"/>
      <c r="L9" s="117"/>
      <c r="M9" s="117"/>
    </row>
    <row r="10" spans="1:21" ht="18.75" customHeight="1">
      <c r="A10" s="20"/>
      <c r="B10" s="91"/>
      <c r="C10" s="91"/>
      <c r="D10" s="91"/>
      <c r="E10" s="91"/>
      <c r="F10" s="91"/>
      <c r="G10" s="91"/>
      <c r="H10" s="91"/>
      <c r="I10" s="91"/>
      <c r="J10" s="117"/>
      <c r="K10" s="117"/>
      <c r="L10" s="117"/>
      <c r="M10" s="117"/>
    </row>
    <row r="11" spans="1:21" ht="18.75" customHeight="1">
      <c r="A11" s="20"/>
      <c r="B11" s="91"/>
      <c r="C11" s="91"/>
      <c r="D11" s="91"/>
      <c r="E11" s="91"/>
      <c r="F11" s="91"/>
      <c r="G11" s="91"/>
      <c r="H11" s="91"/>
      <c r="I11" s="91"/>
      <c r="J11" s="117"/>
      <c r="K11" s="117"/>
      <c r="L11" s="117"/>
      <c r="M11" s="117"/>
    </row>
    <row r="12" spans="1:21" ht="18.75" customHeight="1">
      <c r="A12" s="20"/>
      <c r="B12" s="91"/>
      <c r="C12" s="91"/>
      <c r="D12" s="91"/>
      <c r="E12" s="91"/>
      <c r="F12" s="91"/>
      <c r="G12" s="91"/>
      <c r="H12" s="91"/>
      <c r="I12" s="91"/>
      <c r="J12" s="117"/>
      <c r="K12" s="117"/>
      <c r="L12" s="117"/>
      <c r="M12" s="117"/>
    </row>
    <row r="13" spans="1:21" ht="18.75" customHeight="1">
      <c r="A13" s="20"/>
      <c r="B13" s="91"/>
      <c r="C13" s="91"/>
      <c r="D13" s="91"/>
      <c r="E13" s="91"/>
      <c r="F13" s="91"/>
      <c r="G13" s="91"/>
      <c r="H13" s="91"/>
      <c r="I13" s="91"/>
      <c r="J13" s="117"/>
      <c r="K13" s="117"/>
      <c r="L13" s="117"/>
      <c r="M13" s="117"/>
    </row>
    <row r="14" spans="1:21" ht="18.75" customHeight="1">
      <c r="A14" s="20"/>
      <c r="B14" s="91"/>
      <c r="C14" s="91"/>
      <c r="D14" s="91"/>
      <c r="E14" s="91"/>
      <c r="F14" s="91"/>
      <c r="G14" s="91"/>
      <c r="H14" s="91"/>
      <c r="I14" s="91"/>
      <c r="J14" s="117"/>
      <c r="K14" s="117"/>
      <c r="L14" s="117"/>
      <c r="M14" s="117"/>
    </row>
    <row r="15" spans="1:21" ht="18.75" customHeight="1">
      <c r="A15" s="20"/>
      <c r="B15" s="91"/>
      <c r="C15" s="91"/>
      <c r="D15" s="91"/>
      <c r="E15" s="91"/>
      <c r="F15" s="91"/>
      <c r="G15" s="91"/>
      <c r="H15" s="91"/>
      <c r="I15" s="91"/>
      <c r="J15" s="117"/>
      <c r="K15" s="117"/>
      <c r="L15" s="117"/>
      <c r="M15" s="117"/>
    </row>
    <row r="16" spans="1:21" s="2" customFormat="1" ht="19.95" customHeight="1">
      <c r="A16" s="20" t="s">
        <v>5</v>
      </c>
      <c r="B16" s="13" t="s">
        <v>6</v>
      </c>
      <c r="C16" s="13" t="s">
        <v>7</v>
      </c>
      <c r="D16" s="13" t="s">
        <v>8</v>
      </c>
      <c r="E16" s="14" t="s">
        <v>9</v>
      </c>
      <c r="F16" s="13" t="s">
        <v>10</v>
      </c>
      <c r="G16" s="14" t="s">
        <v>11</v>
      </c>
      <c r="H16" s="13" t="s">
        <v>12</v>
      </c>
      <c r="I16" s="14" t="s">
        <v>13</v>
      </c>
      <c r="J16" s="13" t="s">
        <v>14</v>
      </c>
      <c r="K16" s="14" t="s">
        <v>15</v>
      </c>
      <c r="L16" s="13" t="s">
        <v>16</v>
      </c>
      <c r="M16" s="14"/>
      <c r="N16" s="13" t="s">
        <v>17</v>
      </c>
      <c r="O16" s="14" t="s">
        <v>18</v>
      </c>
      <c r="T16" s="1"/>
      <c r="U16" s="1"/>
    </row>
    <row r="17" spans="1:21" s="3" customFormat="1" ht="16.05" customHeight="1">
      <c r="A17" s="20" t="s">
        <v>19</v>
      </c>
      <c r="B17" s="22"/>
      <c r="C17" s="27">
        <f>IF(DAY(GenDom1)=1,GenDom1-6,GenDom1+1)</f>
        <v>45656</v>
      </c>
      <c r="D17" s="21"/>
      <c r="E17" s="27">
        <f>IF(DAY(GenDom1)=1,GenDom1-5,GenDom1+2)</f>
        <v>45657</v>
      </c>
      <c r="F17" s="21"/>
      <c r="G17" s="83">
        <f>IF(DAY(GenDom1)=1,GenDom1-4,GenDom1+3)</f>
        <v>45658</v>
      </c>
      <c r="H17" s="21"/>
      <c r="I17" s="83">
        <f>IF(DAY(GenDom1)=1,GenDom1-3,GenDom1+4)</f>
        <v>45659</v>
      </c>
      <c r="J17" s="21"/>
      <c r="K17" s="83">
        <f>IF(DAY(GenDom1)=1,GenDom1-2,GenDom1+5)</f>
        <v>45660</v>
      </c>
      <c r="L17" s="21"/>
      <c r="M17" s="83">
        <f>IF(DAY(GenDom1)=1,GenDom1-1,GenDom1+6)</f>
        <v>45661</v>
      </c>
      <c r="N17" s="21"/>
      <c r="O17" s="27">
        <f>IF(DAY(GenDom1)=1,GenDom1,GenDom1+7)</f>
        <v>45662</v>
      </c>
      <c r="P17" s="4"/>
      <c r="T17" s="5"/>
      <c r="U17" s="4"/>
    </row>
    <row r="18" spans="1:21" s="53" customFormat="1" ht="25.05" customHeight="1">
      <c r="A18" s="47" t="s">
        <v>20</v>
      </c>
      <c r="B18" s="48"/>
      <c r="C18" s="49"/>
      <c r="D18" s="50"/>
      <c r="E18" s="49"/>
      <c r="F18" s="54" t="s">
        <v>21</v>
      </c>
      <c r="G18" s="49"/>
      <c r="H18" s="51" t="s">
        <v>22</v>
      </c>
      <c r="I18" s="49"/>
      <c r="J18" s="48" t="s">
        <v>23</v>
      </c>
      <c r="K18" s="49"/>
      <c r="L18" s="50" t="s">
        <v>24</v>
      </c>
      <c r="M18" s="52"/>
      <c r="N18" s="51"/>
      <c r="O18" s="52"/>
    </row>
    <row r="19" spans="1:21" s="4" customFormat="1" ht="16.5" customHeight="1">
      <c r="A19" s="20"/>
      <c r="B19" s="22"/>
      <c r="C19" s="27">
        <f>IF(DAY(GenDom1)=1,GenDom1+1,GenDom1+8)</f>
        <v>45663</v>
      </c>
      <c r="D19" s="21"/>
      <c r="E19" s="27">
        <f>IF(DAY(GenDom1)=1,GenDom1+2,GenDom1+9)</f>
        <v>45664</v>
      </c>
      <c r="F19" s="21"/>
      <c r="G19" s="82">
        <f>IF(DAY(GenDom1)=1,GenDom1+3,GenDom1+10)</f>
        <v>45665</v>
      </c>
      <c r="H19" s="21"/>
      <c r="I19" s="27">
        <f>IF(DAY(GenDom1)=1,GenDom1+4,GenDom1+11)</f>
        <v>45666</v>
      </c>
      <c r="J19" s="21"/>
      <c r="K19" s="27">
        <f>IF(DAY(GenDom1)=1,GenDom1+5,GenDom1+12)</f>
        <v>45667</v>
      </c>
      <c r="L19" s="21"/>
      <c r="M19" s="27">
        <f>IF(DAY(GenDom1)=1,GenDom1+6,GenDom1+13)</f>
        <v>45668</v>
      </c>
      <c r="N19" s="21"/>
      <c r="O19" s="28">
        <f>IF(DAY(GenDom1)=1,GenDom1+7,GenDom1+14)</f>
        <v>45669</v>
      </c>
    </row>
    <row r="20" spans="1:21" s="53" customFormat="1" ht="25.05" customHeight="1">
      <c r="A20" s="47"/>
      <c r="B20" s="48" t="s">
        <v>25</v>
      </c>
      <c r="C20" s="49"/>
      <c r="D20" s="50" t="s">
        <v>26</v>
      </c>
      <c r="E20" s="49"/>
      <c r="F20" s="54" t="s">
        <v>27</v>
      </c>
      <c r="G20" s="49"/>
      <c r="H20" s="48" t="s">
        <v>28</v>
      </c>
      <c r="I20" s="49"/>
      <c r="J20" s="50" t="s">
        <v>29</v>
      </c>
      <c r="K20" s="49"/>
      <c r="L20" s="50" t="s">
        <v>30</v>
      </c>
      <c r="M20" s="52"/>
      <c r="N20" s="51"/>
      <c r="O20" s="52"/>
    </row>
    <row r="21" spans="1:21" s="4" customFormat="1" ht="16.5" customHeight="1">
      <c r="A21" s="20"/>
      <c r="B21" s="22"/>
      <c r="C21" s="27">
        <f>IF(DAY(GenDom1)=1,GenDom1+8,GenDom1+15)</f>
        <v>45670</v>
      </c>
      <c r="D21" s="21"/>
      <c r="E21" s="27">
        <f>IF(DAY(GenDom1)=1,GenDom1+9,GenDom1+16)</f>
        <v>45671</v>
      </c>
      <c r="F21" s="21"/>
      <c r="G21" s="27">
        <f>IF(DAY(GenDom1)=1,GenDom1+10,GenDom1+17)</f>
        <v>45672</v>
      </c>
      <c r="H21" s="21"/>
      <c r="I21" s="27">
        <f>IF(DAY(GenDom1)=1,GenDom1+11,GenDom1+18)</f>
        <v>45673</v>
      </c>
      <c r="J21" s="21"/>
      <c r="K21" s="27">
        <f>IF(DAY(GenDom1)=1,GenDom1+12,GenDom1+19)</f>
        <v>45674</v>
      </c>
      <c r="L21" s="21"/>
      <c r="M21" s="27">
        <f>IF(DAY(GenDom1)=1,GenDom1+13,GenDom1+20)</f>
        <v>45675</v>
      </c>
      <c r="N21" s="21"/>
      <c r="O21" s="27">
        <f>IF(DAY(GenDom1)=1,GenDom1+14,GenDom1+21)</f>
        <v>45676</v>
      </c>
    </row>
    <row r="22" spans="1:21" s="53" customFormat="1" ht="25.05" customHeight="1">
      <c r="A22" s="47"/>
      <c r="B22" s="48" t="s">
        <v>31</v>
      </c>
      <c r="C22" s="49"/>
      <c r="D22" s="50" t="s">
        <v>32</v>
      </c>
      <c r="E22" s="49"/>
      <c r="F22" s="54" t="s">
        <v>33</v>
      </c>
      <c r="G22" s="49"/>
      <c r="H22" s="48" t="s">
        <v>34</v>
      </c>
      <c r="I22" s="49"/>
      <c r="J22" s="50" t="s">
        <v>35</v>
      </c>
      <c r="K22" s="49"/>
      <c r="L22" s="50" t="s">
        <v>36</v>
      </c>
      <c r="M22" s="52"/>
      <c r="N22" s="51"/>
      <c r="O22" s="52"/>
    </row>
    <row r="23" spans="1:21" s="4" customFormat="1" ht="16.5" customHeight="1">
      <c r="A23" s="20"/>
      <c r="B23" s="22"/>
      <c r="C23" s="27">
        <f>IF(DAY(GenDom1)=1,GenDom1+15,GenDom1+22)</f>
        <v>45677</v>
      </c>
      <c r="D23" s="21"/>
      <c r="E23" s="27">
        <f>IF(DAY(GenDom1)=1,GenDom1+16,GenDom1+23)</f>
        <v>45678</v>
      </c>
      <c r="F23" s="21"/>
      <c r="G23" s="27">
        <f>IF(DAY(GenDom1)=1,GenDom1+17,GenDom1+24)</f>
        <v>45679</v>
      </c>
      <c r="H23" s="21"/>
      <c r="I23" s="27">
        <f>IF(DAY(GenDom1)=1,GenDom1+18,GenDom1+25)</f>
        <v>45680</v>
      </c>
      <c r="J23" s="21"/>
      <c r="K23" s="27">
        <f>IF(DAY(GenDom1)=1,GenDom1+19,GenDom1+26)</f>
        <v>45681</v>
      </c>
      <c r="L23" s="21"/>
      <c r="M23" s="27">
        <f>IF(DAY(GenDom1)=1,GenDom1+20,GenDom1+27)</f>
        <v>45682</v>
      </c>
      <c r="N23" s="21"/>
      <c r="O23" s="27">
        <f>IF(DAY(GenDom1)=1,GenDom1+21,GenDom1+28)</f>
        <v>45683</v>
      </c>
    </row>
    <row r="24" spans="1:21" s="53" customFormat="1" ht="25.05" customHeight="1">
      <c r="A24" s="47"/>
      <c r="B24" s="48" t="s">
        <v>37</v>
      </c>
      <c r="C24" s="49"/>
      <c r="D24" s="50" t="s">
        <v>38</v>
      </c>
      <c r="E24" s="49"/>
      <c r="F24" s="54" t="s">
        <v>39</v>
      </c>
      <c r="G24" s="49"/>
      <c r="H24" s="48" t="s">
        <v>40</v>
      </c>
      <c r="I24" s="49"/>
      <c r="J24" s="50" t="s">
        <v>41</v>
      </c>
      <c r="K24" s="49"/>
      <c r="L24" s="50" t="s">
        <v>42</v>
      </c>
      <c r="M24" s="52"/>
      <c r="N24" s="51"/>
      <c r="O24" s="52"/>
    </row>
    <row r="25" spans="1:21" s="4" customFormat="1" ht="16.5" customHeight="1">
      <c r="A25" s="20"/>
      <c r="B25" s="22"/>
      <c r="C25" s="27">
        <f>IF(DAY(GenDom1)=1,GenDom1+22,GenDom1+29)</f>
        <v>45684</v>
      </c>
      <c r="D25" s="21"/>
      <c r="E25" s="27">
        <f>IF(DAY(GenDom1)=1,GenDom1+23,GenDom1+30)</f>
        <v>45685</v>
      </c>
      <c r="F25" s="21"/>
      <c r="G25" s="27">
        <f>IF(DAY(GenDom1)=1,GenDom1+24,GenDom1+31)</f>
        <v>45686</v>
      </c>
      <c r="H25" s="21"/>
      <c r="I25" s="27">
        <f>IF(DAY(GenDom1)=1,GenDom1+25,GenDom1+32)</f>
        <v>45687</v>
      </c>
      <c r="J25" s="21"/>
      <c r="K25" s="27">
        <f>IF(DAY(GenDom1)=1,GenDom1+26,GenDom1+33)</f>
        <v>45688</v>
      </c>
      <c r="L25" s="21"/>
      <c r="M25" s="27">
        <f>IF(DAY(GenDom1)=1,GenDom1+27,GenDom1+34)</f>
        <v>45689</v>
      </c>
      <c r="N25" s="21"/>
      <c r="O25" s="27">
        <f>IF(DAY(GenDom1)=1,GenDom1+28,GenDom1+35)</f>
        <v>45690</v>
      </c>
    </row>
    <row r="26" spans="1:21" s="53" customFormat="1" ht="25.05" customHeight="1">
      <c r="A26" s="47"/>
      <c r="B26" s="48" t="s">
        <v>43</v>
      </c>
      <c r="C26" s="49"/>
      <c r="D26" s="50" t="s">
        <v>44</v>
      </c>
      <c r="E26" s="49"/>
      <c r="F26" s="54" t="s">
        <v>45</v>
      </c>
      <c r="G26" s="49"/>
      <c r="H26" s="48" t="s">
        <v>46</v>
      </c>
      <c r="I26" s="49"/>
      <c r="J26" s="50" t="s">
        <v>53</v>
      </c>
      <c r="K26" s="49"/>
      <c r="L26" s="50"/>
      <c r="M26" s="52"/>
      <c r="N26" s="51"/>
      <c r="O26" s="52"/>
    </row>
    <row r="27" spans="1:21" ht="72" customHeight="1"/>
    <row r="28" spans="1:21" ht="54" customHeight="1">
      <c r="A28" s="20" t="s">
        <v>47</v>
      </c>
      <c r="B28" s="98" t="str">
        <f>TEXT(DATE(AnnoCalendario,2,1),"mmmm")</f>
        <v>febbraio</v>
      </c>
      <c r="C28" s="98"/>
      <c r="D28" s="98"/>
      <c r="E28" s="98"/>
      <c r="F28" s="98"/>
      <c r="G28" s="98"/>
      <c r="H28" s="98"/>
      <c r="I28" s="98"/>
      <c r="J28" s="92" t="s">
        <v>1</v>
      </c>
      <c r="K28" s="93"/>
      <c r="L28" s="93"/>
      <c r="M28" s="94">
        <f>AnnoCalendario</f>
        <v>2025</v>
      </c>
      <c r="N28" s="94"/>
      <c r="O28" s="94"/>
      <c r="P28" s="15"/>
    </row>
    <row r="29" spans="1:21" ht="18.75" customHeight="1">
      <c r="A29" s="20" t="s">
        <v>48</v>
      </c>
      <c r="B29" s="91"/>
      <c r="C29" s="91"/>
      <c r="D29" s="91"/>
      <c r="E29" s="91"/>
      <c r="F29" s="91"/>
      <c r="G29" s="91"/>
      <c r="H29" s="91"/>
      <c r="I29" s="91"/>
      <c r="J29" s="107" t="s">
        <v>4</v>
      </c>
      <c r="K29" s="108"/>
      <c r="L29" s="108"/>
      <c r="M29" s="108"/>
      <c r="N29" s="108"/>
      <c r="O29" s="108"/>
    </row>
    <row r="30" spans="1:21" ht="18.75" customHeight="1">
      <c r="A30" s="20"/>
      <c r="B30" s="91"/>
      <c r="C30" s="91"/>
      <c r="D30" s="91"/>
      <c r="E30" s="91"/>
      <c r="F30" s="91"/>
      <c r="G30" s="91"/>
      <c r="H30" s="91"/>
      <c r="I30" s="91"/>
      <c r="J30" s="108"/>
      <c r="K30" s="108"/>
      <c r="L30" s="108"/>
      <c r="M30" s="108"/>
      <c r="N30" s="108"/>
      <c r="O30" s="108"/>
    </row>
    <row r="31" spans="1:21" ht="18.75" customHeight="1">
      <c r="A31" s="20"/>
      <c r="B31" s="91"/>
      <c r="C31" s="91"/>
      <c r="D31" s="91"/>
      <c r="E31" s="91"/>
      <c r="F31" s="91"/>
      <c r="G31" s="91"/>
      <c r="H31" s="91"/>
      <c r="I31" s="91"/>
      <c r="J31" s="108"/>
      <c r="K31" s="108"/>
      <c r="L31" s="108"/>
      <c r="M31" s="108"/>
      <c r="N31" s="108"/>
      <c r="O31" s="108"/>
    </row>
    <row r="32" spans="1:21" ht="18.75" customHeight="1">
      <c r="A32" s="20"/>
      <c r="B32" s="91"/>
      <c r="C32" s="91"/>
      <c r="D32" s="91"/>
      <c r="E32" s="91"/>
      <c r="F32" s="91"/>
      <c r="G32" s="91"/>
      <c r="H32" s="91"/>
      <c r="I32" s="91"/>
      <c r="J32" s="108"/>
      <c r="K32" s="108"/>
      <c r="L32" s="108"/>
      <c r="M32" s="108"/>
      <c r="N32" s="108"/>
      <c r="O32" s="108"/>
    </row>
    <row r="33" spans="1:22" ht="18.75" customHeight="1">
      <c r="A33" s="20"/>
      <c r="B33" s="91"/>
      <c r="C33" s="91"/>
      <c r="D33" s="91"/>
      <c r="E33" s="91"/>
      <c r="F33" s="91"/>
      <c r="G33" s="91"/>
      <c r="H33" s="91"/>
      <c r="I33" s="91"/>
      <c r="J33" s="108"/>
      <c r="K33" s="108"/>
      <c r="L33" s="108"/>
      <c r="M33" s="108"/>
      <c r="N33" s="108"/>
      <c r="O33" s="108"/>
    </row>
    <row r="34" spans="1:22" ht="18.75" customHeight="1">
      <c r="A34" s="20"/>
      <c r="B34" s="91"/>
      <c r="C34" s="91"/>
      <c r="D34" s="91"/>
      <c r="E34" s="91"/>
      <c r="F34" s="91"/>
      <c r="G34" s="91"/>
      <c r="H34" s="91"/>
      <c r="I34" s="91"/>
      <c r="J34" s="108"/>
      <c r="K34" s="108"/>
      <c r="L34" s="108"/>
      <c r="M34" s="108"/>
      <c r="N34" s="108"/>
      <c r="O34" s="108"/>
    </row>
    <row r="35" spans="1:22" ht="18.75" customHeight="1">
      <c r="A35" s="20"/>
      <c r="B35" s="91"/>
      <c r="C35" s="91"/>
      <c r="D35" s="91"/>
      <c r="E35" s="91"/>
      <c r="F35" s="91"/>
      <c r="G35" s="91"/>
      <c r="H35" s="91"/>
      <c r="I35" s="91"/>
      <c r="J35" s="108"/>
      <c r="K35" s="108"/>
      <c r="L35" s="108"/>
      <c r="M35" s="108"/>
      <c r="N35" s="108"/>
      <c r="O35" s="108"/>
    </row>
    <row r="36" spans="1:22" ht="18.75" customHeight="1">
      <c r="A36" s="20"/>
      <c r="B36" s="91"/>
      <c r="C36" s="91"/>
      <c r="D36" s="91"/>
      <c r="E36" s="91"/>
      <c r="F36" s="91"/>
      <c r="G36" s="91"/>
      <c r="H36" s="91"/>
      <c r="I36" s="91"/>
      <c r="J36" s="108"/>
      <c r="K36" s="108"/>
      <c r="L36" s="108"/>
      <c r="M36" s="108"/>
      <c r="N36" s="108"/>
      <c r="O36" s="108"/>
    </row>
    <row r="37" spans="1:22" ht="18.75" customHeight="1">
      <c r="A37" s="20"/>
      <c r="B37" s="91"/>
      <c r="C37" s="91"/>
      <c r="D37" s="91"/>
      <c r="E37" s="91"/>
      <c r="F37" s="91"/>
      <c r="G37" s="91"/>
      <c r="H37" s="91"/>
      <c r="I37" s="91"/>
      <c r="J37" s="108"/>
      <c r="K37" s="108"/>
      <c r="L37" s="108"/>
      <c r="M37" s="108"/>
      <c r="N37" s="108"/>
      <c r="O37" s="108"/>
    </row>
    <row r="38" spans="1:22" ht="18.75" customHeight="1">
      <c r="A38" s="20"/>
      <c r="B38" s="91"/>
      <c r="C38" s="91"/>
      <c r="D38" s="91"/>
      <c r="E38" s="91"/>
      <c r="F38" s="91"/>
      <c r="G38" s="91"/>
      <c r="H38" s="91"/>
      <c r="I38" s="91"/>
      <c r="J38" s="108"/>
      <c r="K38" s="108"/>
      <c r="L38" s="108"/>
      <c r="M38" s="108"/>
      <c r="N38" s="108"/>
      <c r="O38" s="108"/>
    </row>
    <row r="39" spans="1:22" ht="18.75" customHeight="1">
      <c r="A39" s="20"/>
      <c r="B39" s="91"/>
      <c r="C39" s="91"/>
      <c r="D39" s="91"/>
      <c r="E39" s="91"/>
      <c r="F39" s="91"/>
      <c r="G39" s="91"/>
      <c r="H39" s="91"/>
      <c r="I39" s="91"/>
      <c r="J39" s="108"/>
      <c r="K39" s="108"/>
      <c r="L39" s="108"/>
      <c r="M39" s="108"/>
      <c r="N39" s="108"/>
      <c r="O39" s="108"/>
    </row>
    <row r="40" spans="1:22" ht="18.75" customHeight="1">
      <c r="A40" s="20"/>
      <c r="B40" s="91"/>
      <c r="C40" s="91"/>
      <c r="D40" s="91"/>
      <c r="E40" s="91"/>
      <c r="F40" s="91"/>
      <c r="G40" s="91"/>
      <c r="H40" s="91"/>
      <c r="I40" s="91"/>
      <c r="J40" s="108"/>
      <c r="K40" s="108"/>
      <c r="L40" s="108"/>
      <c r="M40" s="108"/>
      <c r="N40" s="108"/>
      <c r="O40" s="108"/>
    </row>
    <row r="41" spans="1:22" ht="18.75" customHeight="1">
      <c r="A41" s="20"/>
      <c r="B41" s="91"/>
      <c r="C41" s="91"/>
      <c r="D41" s="91"/>
      <c r="E41" s="91"/>
      <c r="F41" s="91"/>
      <c r="G41" s="91"/>
      <c r="H41" s="91"/>
      <c r="I41" s="91"/>
      <c r="J41" s="108"/>
      <c r="K41" s="108"/>
      <c r="L41" s="108"/>
      <c r="M41" s="108"/>
      <c r="N41" s="108"/>
      <c r="O41" s="108"/>
    </row>
    <row r="42" spans="1:22" ht="18.75" customHeight="1">
      <c r="A42" s="20"/>
      <c r="B42" s="91"/>
      <c r="C42" s="91"/>
      <c r="D42" s="91"/>
      <c r="E42" s="91"/>
      <c r="F42" s="91"/>
      <c r="G42" s="91"/>
      <c r="H42" s="91"/>
      <c r="I42" s="91"/>
      <c r="J42" s="108"/>
      <c r="K42" s="108"/>
      <c r="L42" s="108"/>
      <c r="M42" s="108"/>
      <c r="N42" s="108"/>
      <c r="O42" s="108"/>
    </row>
    <row r="43" spans="1:22" ht="18.75" customHeight="1">
      <c r="A43" s="20"/>
      <c r="B43" s="91"/>
      <c r="C43" s="91"/>
      <c r="D43" s="91"/>
      <c r="E43" s="91"/>
      <c r="F43" s="91"/>
      <c r="G43" s="91"/>
      <c r="H43" s="91"/>
      <c r="I43" s="91"/>
      <c r="J43" s="108"/>
      <c r="K43" s="108"/>
      <c r="L43" s="108"/>
      <c r="M43" s="108"/>
      <c r="N43" s="108"/>
      <c r="O43" s="108"/>
    </row>
    <row r="44" spans="1:22" s="2" customFormat="1" ht="19.95" customHeight="1">
      <c r="A44" s="20" t="s">
        <v>49</v>
      </c>
      <c r="B44" s="13" t="s">
        <v>6</v>
      </c>
      <c r="C44" s="13" t="s">
        <v>7</v>
      </c>
      <c r="D44" s="13" t="s">
        <v>8</v>
      </c>
      <c r="E44" s="13" t="s">
        <v>9</v>
      </c>
      <c r="F44" s="13" t="s">
        <v>10</v>
      </c>
      <c r="G44" s="13" t="s">
        <v>11</v>
      </c>
      <c r="H44" s="13" t="s">
        <v>12</v>
      </c>
      <c r="I44" s="13" t="s">
        <v>13</v>
      </c>
      <c r="J44" s="13" t="s">
        <v>14</v>
      </c>
      <c r="K44" s="13" t="s">
        <v>15</v>
      </c>
      <c r="L44" s="13" t="s">
        <v>16</v>
      </c>
      <c r="M44" s="13" t="s">
        <v>18</v>
      </c>
      <c r="N44" s="13" t="s">
        <v>17</v>
      </c>
      <c r="O44" s="13" t="s">
        <v>50</v>
      </c>
      <c r="P44" s="1"/>
      <c r="U44" s="1"/>
      <c r="V44" s="1"/>
    </row>
    <row r="45" spans="1:22" s="3" customFormat="1" ht="16.5" customHeight="1">
      <c r="A45" s="20" t="s">
        <v>51</v>
      </c>
      <c r="B45" s="22"/>
      <c r="C45" s="27">
        <f>IF(DAY(FebDom1)=1,FebDom1-6,FebDom1+1)</f>
        <v>45684</v>
      </c>
      <c r="D45" s="21"/>
      <c r="E45" s="27">
        <f>IF(DAY(FebDom1)=1,FebDom1-5,FebDom1+2)</f>
        <v>45685</v>
      </c>
      <c r="F45" s="21"/>
      <c r="G45" s="27">
        <f>IF(DAY(FebDom1)=1,FebDom1-4,FebDom1+3)</f>
        <v>45686</v>
      </c>
      <c r="H45" s="21"/>
      <c r="I45" s="27">
        <f>IF(DAY(FebDom1)=1,FebDom1-3,FebDom1+4)</f>
        <v>45687</v>
      </c>
      <c r="J45" s="21"/>
      <c r="K45" s="27">
        <f>IF(DAY(FebDom1)=1,FebDom1-2,FebDom1+5)</f>
        <v>45688</v>
      </c>
      <c r="L45" s="21"/>
      <c r="M45" s="27">
        <f>IF(DAY(FebDom1)=1,FebDom1-1,FebDom1+6)</f>
        <v>45689</v>
      </c>
      <c r="N45" s="21"/>
      <c r="O45" s="27">
        <f>IF(DAY(FebDom1)=1,FebDom1,FebDom1+7)</f>
        <v>45690</v>
      </c>
      <c r="P45" s="4"/>
      <c r="Q45" s="4"/>
      <c r="U45" s="5"/>
      <c r="V45" s="4"/>
    </row>
    <row r="46" spans="1:22" s="53" customFormat="1" ht="25.05" customHeight="1">
      <c r="A46" s="47" t="s">
        <v>52</v>
      </c>
      <c r="B46" s="48"/>
      <c r="C46" s="49"/>
      <c r="D46" s="50"/>
      <c r="E46" s="49"/>
      <c r="F46" s="50"/>
      <c r="G46" s="49"/>
      <c r="H46" s="50"/>
      <c r="I46" s="49"/>
      <c r="J46" s="50"/>
      <c r="K46" s="49"/>
      <c r="L46" s="50" t="s">
        <v>54</v>
      </c>
      <c r="M46" s="52"/>
      <c r="N46" s="51"/>
      <c r="O46" s="52"/>
    </row>
    <row r="47" spans="1:22" s="4" customFormat="1" ht="16.5" customHeight="1">
      <c r="A47" s="20"/>
      <c r="B47" s="22"/>
      <c r="C47" s="27">
        <f>IF(DAY(FebDom1)=1,FebDom1+1,FebDom1+8)</f>
        <v>45691</v>
      </c>
      <c r="D47" s="21"/>
      <c r="E47" s="27">
        <f>IF(DAY(FebDom1)=1,FebDom1+2,FebDom1+9)</f>
        <v>45692</v>
      </c>
      <c r="F47" s="21"/>
      <c r="G47" s="27">
        <f>IF(DAY(FebDom1)=1,FebDom1+3,FebDom1+10)</f>
        <v>45693</v>
      </c>
      <c r="H47" s="21"/>
      <c r="I47" s="27">
        <f>IF(DAY(FebDom1)=1,FebDom1+4,FebDom1+11)</f>
        <v>45694</v>
      </c>
      <c r="J47" s="21"/>
      <c r="K47" s="27">
        <f>IF(DAY(FebDom1)=1,FebDom1+5,FebDom1+12)</f>
        <v>45695</v>
      </c>
      <c r="L47" s="21"/>
      <c r="M47" s="27">
        <f>IF(DAY(FebDom1)=1,FebDom1+6,FebDom1+13)</f>
        <v>45696</v>
      </c>
      <c r="N47" s="21"/>
      <c r="O47" s="28">
        <f>IF(DAY(FebDom1)=1,FebDom1+7,FebDom1+14)</f>
        <v>45697</v>
      </c>
    </row>
    <row r="48" spans="1:22" s="53" customFormat="1" ht="25.05" customHeight="1">
      <c r="A48" s="47"/>
      <c r="B48" s="48" t="s">
        <v>55</v>
      </c>
      <c r="C48" s="49"/>
      <c r="D48" s="50" t="s">
        <v>56</v>
      </c>
      <c r="E48" s="49"/>
      <c r="F48" s="48" t="s">
        <v>386</v>
      </c>
      <c r="G48" s="49"/>
      <c r="H48" s="48" t="s">
        <v>57</v>
      </c>
      <c r="I48" s="49"/>
      <c r="J48" s="50" t="s">
        <v>58</v>
      </c>
      <c r="K48" s="49"/>
      <c r="L48" s="50" t="s">
        <v>59</v>
      </c>
      <c r="M48" s="52"/>
      <c r="N48" s="51"/>
      <c r="O48" s="52"/>
    </row>
    <row r="49" spans="1:16" s="4" customFormat="1" ht="16.5" customHeight="1">
      <c r="A49" s="20"/>
      <c r="B49" s="22"/>
      <c r="C49" s="27">
        <f>IF(DAY(FebDom1)=1,FebDom1+8,FebDom1+15)</f>
        <v>45698</v>
      </c>
      <c r="D49" s="21"/>
      <c r="E49" s="27">
        <f>IF(DAY(FebDom1)=1,FebDom1+9,FebDom1+16)</f>
        <v>45699</v>
      </c>
      <c r="F49" s="21"/>
      <c r="G49" s="27">
        <f>IF(DAY(FebDom1)=1,FebDom1+10,FebDom1+17)</f>
        <v>45700</v>
      </c>
      <c r="H49" s="21"/>
      <c r="I49" s="27">
        <f>IF(DAY(FebDom1)=1,FebDom1+11,FebDom1+18)</f>
        <v>45701</v>
      </c>
      <c r="J49" s="21"/>
      <c r="K49" s="27">
        <f>IF(DAY(FebDom1)=1,FebDom1+12,FebDom1+19)</f>
        <v>45702</v>
      </c>
      <c r="L49" s="21"/>
      <c r="M49" s="27">
        <f>IF(DAY(FebDom1)=1,FebDom1+13,FebDom1+20)</f>
        <v>45703</v>
      </c>
      <c r="N49" s="21"/>
      <c r="O49" s="27">
        <f>IF(DAY(FebDom1)=1,FebDom1+14,FebDom1+21)</f>
        <v>45704</v>
      </c>
    </row>
    <row r="50" spans="1:16" s="53" customFormat="1" ht="25.05" customHeight="1">
      <c r="A50" s="47"/>
      <c r="B50" s="48" t="s">
        <v>60</v>
      </c>
      <c r="C50" s="49"/>
      <c r="D50" s="50" t="s">
        <v>61</v>
      </c>
      <c r="E50" s="49"/>
      <c r="F50" s="54" t="s">
        <v>62</v>
      </c>
      <c r="G50" s="49"/>
      <c r="H50" s="48" t="s">
        <v>63</v>
      </c>
      <c r="I50" s="49"/>
      <c r="J50" s="50" t="s">
        <v>64</v>
      </c>
      <c r="K50" s="49"/>
      <c r="L50" s="50" t="s">
        <v>65</v>
      </c>
      <c r="M50" s="52"/>
      <c r="N50" s="51"/>
      <c r="O50" s="52"/>
    </row>
    <row r="51" spans="1:16" s="4" customFormat="1" ht="16.5" customHeight="1">
      <c r="A51" s="20"/>
      <c r="B51" s="22"/>
      <c r="C51" s="27">
        <f>IF(DAY(FebDom1)=1,FebDom1+15,FebDom1+22)</f>
        <v>45705</v>
      </c>
      <c r="D51" s="21"/>
      <c r="E51" s="27">
        <f>IF(DAY(FebDom1)=1,FebDom1+16,FebDom1+23)</f>
        <v>45706</v>
      </c>
      <c r="F51" s="21"/>
      <c r="G51" s="27">
        <f>IF(DAY(FebDom1)=1,FebDom1+17,FebDom1+24)</f>
        <v>45707</v>
      </c>
      <c r="H51" s="21"/>
      <c r="I51" s="27">
        <f>IF(DAY(FebDom1)=1,FebDom1+18,FebDom1+25)</f>
        <v>45708</v>
      </c>
      <c r="J51" s="21"/>
      <c r="K51" s="27">
        <f>IF(DAY(FebDom1)=1,FebDom1+19,FebDom1+26)</f>
        <v>45709</v>
      </c>
      <c r="L51" s="21"/>
      <c r="M51" s="27">
        <f>IF(DAY(FebDom1)=1,FebDom1+20,FebDom1+27)</f>
        <v>45710</v>
      </c>
      <c r="N51" s="21"/>
      <c r="O51" s="27">
        <f>IF(DAY(FebDom1)=1,FebDom1+21,FebDom1+28)</f>
        <v>45711</v>
      </c>
    </row>
    <row r="52" spans="1:16" s="53" customFormat="1" ht="25.05" customHeight="1">
      <c r="A52" s="47"/>
      <c r="B52" s="48" t="s">
        <v>66</v>
      </c>
      <c r="C52" s="49"/>
      <c r="D52" s="50" t="s">
        <v>67</v>
      </c>
      <c r="E52" s="49"/>
      <c r="F52" s="54" t="s">
        <v>68</v>
      </c>
      <c r="G52" s="49"/>
      <c r="H52" s="48" t="s">
        <v>69</v>
      </c>
      <c r="I52" s="49"/>
      <c r="J52" s="50" t="s">
        <v>70</v>
      </c>
      <c r="K52" s="49"/>
      <c r="L52" s="50" t="s">
        <v>71</v>
      </c>
      <c r="M52" s="52"/>
      <c r="N52" s="51"/>
      <c r="O52" s="52"/>
    </row>
    <row r="53" spans="1:16" s="4" customFormat="1" ht="16.5" customHeight="1">
      <c r="A53" s="20"/>
      <c r="B53" s="22"/>
      <c r="C53" s="27">
        <f>IF(DAY(FebDom1)=1,FebDom1+22,FebDom1+29)</f>
        <v>45712</v>
      </c>
      <c r="D53" s="21"/>
      <c r="E53" s="27">
        <f>IF(DAY(FebDom1)=1,FebDom1+23,FebDom1+30)</f>
        <v>45713</v>
      </c>
      <c r="F53" s="21"/>
      <c r="G53" s="27">
        <f>IF(DAY(FebDom1)=1,FebDom1+24,FebDom1+31)</f>
        <v>45714</v>
      </c>
      <c r="H53" s="21"/>
      <c r="I53" s="27">
        <f>IF(DAY(FebDom1)=1,FebDom1+25,FebDom1+32)</f>
        <v>45715</v>
      </c>
      <c r="J53" s="21"/>
      <c r="K53" s="27">
        <f>IF(DAY(FebDom1)=1,FebDom1+26,FebDom1+33)</f>
        <v>45716</v>
      </c>
      <c r="L53" s="21"/>
      <c r="M53" s="27">
        <f>IF(DAY(FebDom1)=1,FebDom1+27,FebDom1+34)</f>
        <v>45717</v>
      </c>
      <c r="N53" s="21"/>
      <c r="O53" s="27">
        <f>IF(DAY(FebDom1)=1,FebDom1+28,FebDom1+35)</f>
        <v>45718</v>
      </c>
    </row>
    <row r="54" spans="1:16" s="53" customFormat="1" ht="25.05" customHeight="1">
      <c r="A54" s="47"/>
      <c r="B54" s="48" t="s">
        <v>72</v>
      </c>
      <c r="C54" s="49"/>
      <c r="D54" s="50" t="s">
        <v>73</v>
      </c>
      <c r="E54" s="49"/>
      <c r="F54" s="54" t="s">
        <v>74</v>
      </c>
      <c r="G54" s="49"/>
      <c r="H54" s="48" t="s">
        <v>75</v>
      </c>
      <c r="I54" s="49"/>
      <c r="J54" s="50" t="s">
        <v>387</v>
      </c>
      <c r="K54" s="49"/>
      <c r="L54" s="51"/>
      <c r="M54" s="52"/>
      <c r="N54" s="51"/>
      <c r="O54" s="52"/>
    </row>
    <row r="55" spans="1:16" ht="7.5" customHeight="1">
      <c r="B55" s="6"/>
      <c r="C55" s="6"/>
      <c r="D55" s="6"/>
      <c r="E55" s="6"/>
      <c r="F55" s="6"/>
      <c r="G55" s="6"/>
      <c r="H55" s="6"/>
      <c r="I55" s="6"/>
      <c r="J55" s="6"/>
      <c r="K55" s="6"/>
      <c r="L55" s="6"/>
      <c r="M55" s="6"/>
      <c r="N55" s="6"/>
      <c r="O55" s="6"/>
    </row>
    <row r="57" spans="1:16" ht="54" customHeight="1">
      <c r="A57" s="20" t="s">
        <v>76</v>
      </c>
      <c r="B57" s="99" t="str">
        <f>TEXT(DATE(AnnoCalendario,3,1),"mmmm")</f>
        <v>marzo</v>
      </c>
      <c r="C57" s="99"/>
      <c r="D57" s="99"/>
      <c r="E57" s="99"/>
      <c r="F57" s="99"/>
      <c r="G57" s="99"/>
      <c r="H57" s="99"/>
      <c r="I57" s="99"/>
      <c r="J57" s="92" t="s">
        <v>1</v>
      </c>
      <c r="K57" s="93"/>
      <c r="L57" s="93"/>
      <c r="M57" s="103">
        <f>AnnoCalendario</f>
        <v>2025</v>
      </c>
      <c r="N57" s="103"/>
      <c r="O57" s="103"/>
      <c r="P57" s="9"/>
    </row>
    <row r="58" spans="1:16" ht="19.05" customHeight="1">
      <c r="A58" s="20" t="s">
        <v>77</v>
      </c>
      <c r="B58" s="91"/>
      <c r="C58" s="91"/>
      <c r="D58" s="91"/>
      <c r="E58" s="91"/>
      <c r="F58" s="91"/>
      <c r="G58" s="91"/>
      <c r="H58" s="91"/>
      <c r="I58" s="91"/>
      <c r="J58" s="107" t="s">
        <v>4</v>
      </c>
      <c r="K58" s="108"/>
      <c r="L58" s="108"/>
      <c r="M58" s="108"/>
      <c r="N58" s="108"/>
    </row>
    <row r="59" spans="1:16" ht="19.05" customHeight="1">
      <c r="A59" s="20"/>
      <c r="B59" s="91"/>
      <c r="C59" s="91"/>
      <c r="D59" s="91"/>
      <c r="E59" s="91"/>
      <c r="F59" s="91"/>
      <c r="G59" s="91"/>
      <c r="H59" s="91"/>
      <c r="I59" s="91"/>
      <c r="J59" s="108"/>
      <c r="K59" s="108"/>
      <c r="L59" s="108"/>
      <c r="M59" s="108"/>
      <c r="N59" s="108"/>
    </row>
    <row r="60" spans="1:16" ht="19.05" customHeight="1">
      <c r="A60" s="20"/>
      <c r="B60" s="91"/>
      <c r="C60" s="91"/>
      <c r="D60" s="91"/>
      <c r="E60" s="91"/>
      <c r="F60" s="91"/>
      <c r="G60" s="91"/>
      <c r="H60" s="91"/>
      <c r="I60" s="91"/>
      <c r="J60" s="108"/>
      <c r="K60" s="108"/>
      <c r="L60" s="108"/>
      <c r="M60" s="108"/>
      <c r="N60" s="108"/>
    </row>
    <row r="61" spans="1:16" ht="19.05" customHeight="1">
      <c r="A61" s="20"/>
      <c r="B61" s="91"/>
      <c r="C61" s="91"/>
      <c r="D61" s="91"/>
      <c r="E61" s="91"/>
      <c r="F61" s="91"/>
      <c r="G61" s="91"/>
      <c r="H61" s="91"/>
      <c r="I61" s="91"/>
      <c r="J61" s="108"/>
      <c r="K61" s="108"/>
      <c r="L61" s="108"/>
      <c r="M61" s="108"/>
      <c r="N61" s="108"/>
    </row>
    <row r="62" spans="1:16" ht="19.05" customHeight="1">
      <c r="A62" s="20"/>
      <c r="B62" s="91"/>
      <c r="C62" s="91"/>
      <c r="D62" s="91"/>
      <c r="E62" s="91"/>
      <c r="F62" s="91"/>
      <c r="G62" s="91"/>
      <c r="H62" s="91"/>
      <c r="I62" s="91"/>
      <c r="J62" s="108"/>
      <c r="K62" s="108"/>
      <c r="L62" s="108"/>
      <c r="M62" s="108"/>
      <c r="N62" s="108"/>
    </row>
    <row r="63" spans="1:16" ht="19.05" customHeight="1">
      <c r="A63" s="20"/>
      <c r="B63" s="91"/>
      <c r="C63" s="91"/>
      <c r="D63" s="91"/>
      <c r="E63" s="91"/>
      <c r="F63" s="91"/>
      <c r="G63" s="91"/>
      <c r="H63" s="91"/>
      <c r="I63" s="91"/>
      <c r="J63" s="108"/>
      <c r="K63" s="108"/>
      <c r="L63" s="108"/>
      <c r="M63" s="108"/>
      <c r="N63" s="108"/>
    </row>
    <row r="64" spans="1:16" ht="19.05" customHeight="1">
      <c r="A64" s="20"/>
      <c r="B64" s="91"/>
      <c r="C64" s="91"/>
      <c r="D64" s="91"/>
      <c r="E64" s="91"/>
      <c r="F64" s="91"/>
      <c r="G64" s="91"/>
      <c r="H64" s="91"/>
      <c r="I64" s="91"/>
      <c r="J64" s="108"/>
      <c r="K64" s="108"/>
      <c r="L64" s="108"/>
      <c r="M64" s="108"/>
      <c r="N64" s="108"/>
    </row>
    <row r="65" spans="1:22" ht="19.05" customHeight="1">
      <c r="A65" s="20"/>
      <c r="B65" s="91"/>
      <c r="C65" s="91"/>
      <c r="D65" s="91"/>
      <c r="E65" s="91"/>
      <c r="F65" s="91"/>
      <c r="G65" s="91"/>
      <c r="H65" s="91"/>
      <c r="I65" s="91"/>
      <c r="J65" s="108"/>
      <c r="K65" s="108"/>
      <c r="L65" s="108"/>
      <c r="M65" s="108"/>
      <c r="N65" s="108"/>
    </row>
    <row r="66" spans="1:22" ht="19.05" customHeight="1">
      <c r="A66" s="20"/>
      <c r="B66" s="91"/>
      <c r="C66" s="91"/>
      <c r="D66" s="91"/>
      <c r="E66" s="91"/>
      <c r="F66" s="91"/>
      <c r="G66" s="91"/>
      <c r="H66" s="91"/>
      <c r="I66" s="91"/>
      <c r="J66" s="108"/>
      <c r="K66" s="108"/>
      <c r="L66" s="108"/>
      <c r="M66" s="108"/>
      <c r="N66" s="108"/>
    </row>
    <row r="67" spans="1:22" ht="19.05" customHeight="1">
      <c r="A67" s="20"/>
      <c r="B67" s="91"/>
      <c r="C67" s="91"/>
      <c r="D67" s="91"/>
      <c r="E67" s="91"/>
      <c r="F67" s="91"/>
      <c r="G67" s="91"/>
      <c r="H67" s="91"/>
      <c r="I67" s="91"/>
      <c r="J67" s="108"/>
      <c r="K67" s="108"/>
      <c r="L67" s="108"/>
      <c r="M67" s="108"/>
      <c r="N67" s="108"/>
    </row>
    <row r="68" spans="1:22" ht="19.05" customHeight="1">
      <c r="A68" s="20"/>
      <c r="B68" s="91"/>
      <c r="C68" s="91"/>
      <c r="D68" s="91"/>
      <c r="E68" s="91"/>
      <c r="F68" s="91"/>
      <c r="G68" s="91"/>
      <c r="H68" s="91"/>
      <c r="I68" s="91"/>
      <c r="J68" s="108"/>
      <c r="K68" s="108"/>
      <c r="L68" s="108"/>
      <c r="M68" s="108"/>
      <c r="N68" s="108"/>
    </row>
    <row r="69" spans="1:22" ht="19.05" customHeight="1">
      <c r="A69" s="20"/>
      <c r="B69" s="91"/>
      <c r="C69" s="91"/>
      <c r="D69" s="91"/>
      <c r="E69" s="91"/>
      <c r="F69" s="91"/>
      <c r="G69" s="91"/>
      <c r="H69" s="91"/>
      <c r="I69" s="91"/>
      <c r="J69" s="108"/>
      <c r="K69" s="108"/>
      <c r="L69" s="108"/>
      <c r="M69" s="108"/>
      <c r="N69" s="108"/>
    </row>
    <row r="70" spans="1:22" ht="19.05" customHeight="1">
      <c r="A70" s="20"/>
      <c r="B70" s="91"/>
      <c r="C70" s="91"/>
      <c r="D70" s="91"/>
      <c r="E70" s="91"/>
      <c r="F70" s="91"/>
      <c r="G70" s="91"/>
      <c r="H70" s="91"/>
      <c r="I70" s="91"/>
      <c r="J70" s="108"/>
      <c r="K70" s="108"/>
      <c r="L70" s="108"/>
      <c r="M70" s="108"/>
      <c r="N70" s="108"/>
    </row>
    <row r="71" spans="1:22" ht="19.05" customHeight="1">
      <c r="A71" s="20"/>
      <c r="B71" s="91"/>
      <c r="C71" s="91"/>
      <c r="D71" s="91"/>
      <c r="E71" s="91"/>
      <c r="F71" s="91"/>
      <c r="G71" s="91"/>
      <c r="H71" s="91"/>
      <c r="I71" s="91"/>
      <c r="J71" s="108"/>
      <c r="K71" s="108"/>
      <c r="L71" s="108"/>
      <c r="M71" s="108"/>
      <c r="N71" s="108"/>
    </row>
    <row r="72" spans="1:22" ht="19.05" customHeight="1">
      <c r="A72" s="20"/>
      <c r="B72" s="91"/>
      <c r="C72" s="91"/>
      <c r="D72" s="91"/>
      <c r="E72" s="91"/>
      <c r="F72" s="91"/>
      <c r="G72" s="91"/>
      <c r="H72" s="91"/>
      <c r="I72" s="91"/>
      <c r="J72" s="108"/>
      <c r="K72" s="108"/>
      <c r="L72" s="108"/>
      <c r="M72" s="108"/>
      <c r="N72" s="108"/>
    </row>
    <row r="73" spans="1:22" s="2" customFormat="1" ht="19.95" customHeight="1">
      <c r="A73" s="20" t="s">
        <v>78</v>
      </c>
      <c r="B73" s="11" t="s">
        <v>6</v>
      </c>
      <c r="C73" s="11" t="s">
        <v>7</v>
      </c>
      <c r="D73" s="11" t="s">
        <v>8</v>
      </c>
      <c r="E73" s="11" t="s">
        <v>9</v>
      </c>
      <c r="F73" s="11" t="s">
        <v>10</v>
      </c>
      <c r="G73" s="11" t="s">
        <v>11</v>
      </c>
      <c r="H73" s="11" t="s">
        <v>12</v>
      </c>
      <c r="I73" s="11" t="s">
        <v>13</v>
      </c>
      <c r="J73" s="11" t="s">
        <v>14</v>
      </c>
      <c r="K73" s="11" t="s">
        <v>15</v>
      </c>
      <c r="L73" s="11" t="s">
        <v>16</v>
      </c>
      <c r="M73" s="11" t="s">
        <v>18</v>
      </c>
      <c r="N73" s="11" t="s">
        <v>17</v>
      </c>
      <c r="O73" s="11" t="s">
        <v>50</v>
      </c>
      <c r="P73" s="1"/>
      <c r="U73" s="1"/>
      <c r="V73" s="1"/>
    </row>
    <row r="74" spans="1:22" s="3" customFormat="1" ht="16.5" customHeight="1">
      <c r="A74" s="20" t="s">
        <v>79</v>
      </c>
      <c r="B74" s="24"/>
      <c r="C74" s="29">
        <f>IF(DAY(MarDom1)=1,MarDom1-6,MarDom1+1)</f>
        <v>45712</v>
      </c>
      <c r="D74" s="23"/>
      <c r="E74" s="29">
        <f>IF(DAY(MarDom1)=1,MarDom1-5,MarDom1+2)</f>
        <v>45713</v>
      </c>
      <c r="F74" s="23"/>
      <c r="G74" s="29">
        <f>IF(DAY(MarDom1)=1,MarDom1-4,MarDom1+3)</f>
        <v>45714</v>
      </c>
      <c r="H74" s="23"/>
      <c r="I74" s="29">
        <f>IF(DAY(MarDom1)=1,MarDom1-3,MarDom1+4)</f>
        <v>45715</v>
      </c>
      <c r="J74" s="23"/>
      <c r="K74" s="29">
        <f>IF(DAY(MarDom1)=1,MarDom1-2,MarDom1+5)</f>
        <v>45716</v>
      </c>
      <c r="L74" s="23"/>
      <c r="M74" s="29">
        <f>IF(DAY(MarDom1)=1,MarDom1-1,MarDom1+6)</f>
        <v>45717</v>
      </c>
      <c r="N74" s="23"/>
      <c r="O74" s="37">
        <f>IF(DAY(MarDom1)=1,MarDom1,MarDom1+7)</f>
        <v>45718</v>
      </c>
      <c r="P74" s="4"/>
      <c r="Q74" s="4"/>
      <c r="U74" s="5"/>
      <c r="V74" s="4"/>
    </row>
    <row r="75" spans="1:22" s="53" customFormat="1" ht="25.05" customHeight="1">
      <c r="A75" s="47" t="s">
        <v>80</v>
      </c>
      <c r="B75" s="55"/>
      <c r="C75" s="56"/>
      <c r="D75" s="57"/>
      <c r="E75" s="56"/>
      <c r="F75" s="57"/>
      <c r="G75" s="56"/>
      <c r="H75" s="57"/>
      <c r="I75" s="56"/>
      <c r="J75" s="57"/>
      <c r="K75" s="56"/>
      <c r="L75" s="57" t="s">
        <v>81</v>
      </c>
      <c r="M75" s="58"/>
      <c r="N75" s="59"/>
      <c r="O75" s="58"/>
    </row>
    <row r="76" spans="1:22" s="4" customFormat="1" ht="16.5" customHeight="1">
      <c r="A76" s="20"/>
      <c r="B76" s="24"/>
      <c r="C76" s="29">
        <f>IF(DAY(MarDom1)=1,MarDom1+1,MarDom1+8)</f>
        <v>45719</v>
      </c>
      <c r="D76" s="23"/>
      <c r="E76" s="29">
        <f>IF(DAY(MarDom1)=1,MarDom1+2,MarDom1+9)</f>
        <v>45720</v>
      </c>
      <c r="F76" s="23"/>
      <c r="G76" s="29">
        <f>IF(DAY(MarDom1)=1,MarDom1+3,MarDom1+10)</f>
        <v>45721</v>
      </c>
      <c r="H76" s="23"/>
      <c r="I76" s="29">
        <f>IF(DAY(MarDom1)=1,MarDom1+4,MarDom1+11)</f>
        <v>45722</v>
      </c>
      <c r="J76" s="23"/>
      <c r="K76" s="29">
        <f>IF(DAY(MarDom1)=1,MarDom1+5,MarDom1+12)</f>
        <v>45723</v>
      </c>
      <c r="L76" s="23"/>
      <c r="M76" s="29">
        <f>IF(DAY(MarDom1)=1,MarDom1+6,MarDom1+13)</f>
        <v>45724</v>
      </c>
      <c r="N76" s="23"/>
      <c r="O76" s="37">
        <f>IF(DAY(MarDom1)=1,MarDom1+7,MarDom1+14)</f>
        <v>45725</v>
      </c>
    </row>
    <row r="77" spans="1:22" s="53" customFormat="1" ht="25.05" customHeight="1">
      <c r="A77" s="47"/>
      <c r="B77" s="55" t="s">
        <v>82</v>
      </c>
      <c r="C77" s="56"/>
      <c r="D77" s="57" t="s">
        <v>83</v>
      </c>
      <c r="E77" s="56"/>
      <c r="F77" s="60" t="s">
        <v>84</v>
      </c>
      <c r="G77" s="56"/>
      <c r="H77" s="59" t="s">
        <v>85</v>
      </c>
      <c r="I77" s="56"/>
      <c r="J77" s="57" t="s">
        <v>86</v>
      </c>
      <c r="K77" s="56"/>
      <c r="L77" s="57" t="s">
        <v>87</v>
      </c>
      <c r="M77" s="58"/>
      <c r="N77" s="59"/>
      <c r="O77" s="58"/>
    </row>
    <row r="78" spans="1:22" s="4" customFormat="1" ht="16.5" customHeight="1">
      <c r="A78" s="20"/>
      <c r="B78" s="24"/>
      <c r="C78" s="29">
        <f>IF(DAY(MarDom1)=1,MarDom1+8,MarDom1+15)</f>
        <v>45726</v>
      </c>
      <c r="D78" s="23"/>
      <c r="E78" s="29">
        <f>IF(DAY(MarDom1)=1,MarDom1+9,MarDom1+16)</f>
        <v>45727</v>
      </c>
      <c r="F78" s="23"/>
      <c r="G78" s="29">
        <f>IF(DAY(MarDom1)=1,MarDom1+10,MarDom1+17)</f>
        <v>45728</v>
      </c>
      <c r="H78" s="23"/>
      <c r="I78" s="29">
        <f>IF(DAY(MarDom1)=1,MarDom1+11,MarDom1+18)</f>
        <v>45729</v>
      </c>
      <c r="J78" s="23"/>
      <c r="K78" s="29">
        <f>IF(DAY(MarDom1)=1,MarDom1+12,MarDom1+19)</f>
        <v>45730</v>
      </c>
      <c r="L78" s="23"/>
      <c r="M78" s="29">
        <f>IF(DAY(MarDom1)=1,MarDom1+13,MarDom1+20)</f>
        <v>45731</v>
      </c>
      <c r="N78" s="23"/>
      <c r="O78" s="37">
        <f>IF(DAY(MarDom1)=1,MarDom1+14,MarDom1+21)</f>
        <v>45732</v>
      </c>
    </row>
    <row r="79" spans="1:22" s="53" customFormat="1" ht="25.05" customHeight="1">
      <c r="A79" s="47"/>
      <c r="B79" s="55" t="s">
        <v>88</v>
      </c>
      <c r="C79" s="56"/>
      <c r="D79" s="57" t="s">
        <v>89</v>
      </c>
      <c r="E79" s="56"/>
      <c r="F79" s="60" t="s">
        <v>90</v>
      </c>
      <c r="G79" s="56"/>
      <c r="H79" s="55" t="s">
        <v>91</v>
      </c>
      <c r="I79" s="56"/>
      <c r="J79" s="57" t="s">
        <v>92</v>
      </c>
      <c r="K79" s="56"/>
      <c r="L79" s="57" t="s">
        <v>93</v>
      </c>
      <c r="M79" s="58"/>
      <c r="N79" s="59"/>
      <c r="O79" s="58"/>
    </row>
    <row r="80" spans="1:22" s="4" customFormat="1" ht="16.5" customHeight="1">
      <c r="A80" s="20"/>
      <c r="B80" s="24"/>
      <c r="C80" s="29">
        <f>IF(DAY(MarDom1)=1,MarDom1+15,MarDom1+22)</f>
        <v>45733</v>
      </c>
      <c r="D80" s="23"/>
      <c r="E80" s="29">
        <f>IF(DAY(MarDom1)=1,MarDom1+16,MarDom1+23)</f>
        <v>45734</v>
      </c>
      <c r="F80" s="23"/>
      <c r="G80" s="29">
        <f>IF(DAY(MarDom1)=1,MarDom1+17,MarDom1+24)</f>
        <v>45735</v>
      </c>
      <c r="H80" s="23"/>
      <c r="I80" s="29">
        <f>IF(DAY(MarDom1)=1,MarDom1+18,MarDom1+25)</f>
        <v>45736</v>
      </c>
      <c r="J80" s="23"/>
      <c r="K80" s="29">
        <f>IF(DAY(MarDom1)=1,MarDom1+19,MarDom1+26)</f>
        <v>45737</v>
      </c>
      <c r="L80" s="23"/>
      <c r="M80" s="29">
        <f>IF(DAY(MarDom1)=1,MarDom1+20,MarDom1+27)</f>
        <v>45738</v>
      </c>
      <c r="N80" s="23"/>
      <c r="O80" s="37">
        <f>IF(DAY(MarDom1)=1,MarDom1+21,MarDom1+28)</f>
        <v>45739</v>
      </c>
    </row>
    <row r="81" spans="1:16" s="53" customFormat="1" ht="25.05" customHeight="1">
      <c r="A81" s="47"/>
      <c r="B81" s="55" t="s">
        <v>94</v>
      </c>
      <c r="C81" s="56"/>
      <c r="D81" s="57" t="s">
        <v>95</v>
      </c>
      <c r="E81" s="56"/>
      <c r="F81" s="60" t="s">
        <v>96</v>
      </c>
      <c r="G81" s="56"/>
      <c r="H81" s="55" t="s">
        <v>97</v>
      </c>
      <c r="I81" s="56"/>
      <c r="J81" s="57" t="s">
        <v>98</v>
      </c>
      <c r="K81" s="56"/>
      <c r="L81" s="57" t="s">
        <v>99</v>
      </c>
      <c r="M81" s="58"/>
      <c r="N81" s="59"/>
      <c r="O81" s="58"/>
    </row>
    <row r="82" spans="1:16" s="4" customFormat="1" ht="16.5" customHeight="1">
      <c r="A82" s="20"/>
      <c r="B82" s="24"/>
      <c r="C82" s="29">
        <f>IF(DAY(MarDom1)=1,MarDom1+22,MarDom1+29)</f>
        <v>45740</v>
      </c>
      <c r="D82" s="23"/>
      <c r="E82" s="29">
        <f>IF(DAY(MarDom1)=1,MarDom1+23,MarDom1+30)</f>
        <v>45741</v>
      </c>
      <c r="F82" s="23"/>
      <c r="G82" s="29">
        <f>IF(DAY(MarDom1)=1,MarDom1+24,MarDom1+31)</f>
        <v>45742</v>
      </c>
      <c r="H82" s="23"/>
      <c r="I82" s="29">
        <f>IF(DAY(MarDom1)=1,MarDom1+25,MarDom1+32)</f>
        <v>45743</v>
      </c>
      <c r="J82" s="23"/>
      <c r="K82" s="29">
        <f>IF(DAY(MarDom1)=1,MarDom1+26,MarDom1+33)</f>
        <v>45744</v>
      </c>
      <c r="L82" s="23"/>
      <c r="M82" s="29">
        <f>IF(DAY(MarDom1)=1,MarDom1+27,MarDom1+34)</f>
        <v>45745</v>
      </c>
      <c r="N82" s="23"/>
      <c r="O82" s="37">
        <f>IF(DAY(MarDom1)=1,MarDom1+28,MarDom1+35)</f>
        <v>45746</v>
      </c>
    </row>
    <row r="83" spans="1:16" s="53" customFormat="1" ht="25.05" customHeight="1">
      <c r="A83" s="47"/>
      <c r="B83" s="55" t="s">
        <v>100</v>
      </c>
      <c r="C83" s="56"/>
      <c r="D83" s="57" t="s">
        <v>101</v>
      </c>
      <c r="E83" s="56"/>
      <c r="F83" s="60" t="s">
        <v>102</v>
      </c>
      <c r="G83" s="56"/>
      <c r="H83" s="55" t="s">
        <v>103</v>
      </c>
      <c r="I83" s="56"/>
      <c r="J83" s="57" t="s">
        <v>104</v>
      </c>
      <c r="K83" s="56"/>
      <c r="L83" s="57" t="s">
        <v>105</v>
      </c>
      <c r="M83" s="58"/>
      <c r="N83" s="59"/>
      <c r="O83" s="58"/>
    </row>
    <row r="85" spans="1:16" ht="54" customHeight="1">
      <c r="A85" s="20" t="s">
        <v>106</v>
      </c>
      <c r="B85" s="99" t="str">
        <f>TEXT(DATE(AnnoCalendario,4,1),"mmmm")</f>
        <v>aprile</v>
      </c>
      <c r="C85" s="99"/>
      <c r="D85" s="99"/>
      <c r="E85" s="99"/>
      <c r="F85" s="99"/>
      <c r="G85" s="99"/>
      <c r="H85" s="99"/>
      <c r="I85" s="99"/>
      <c r="J85" s="92" t="s">
        <v>1</v>
      </c>
      <c r="K85" s="92"/>
      <c r="L85" s="92"/>
      <c r="M85" s="103">
        <f>AnnoCalendario</f>
        <v>2025</v>
      </c>
      <c r="N85" s="103"/>
      <c r="O85" s="103"/>
      <c r="P85" s="103"/>
    </row>
    <row r="86" spans="1:16" ht="19.05" customHeight="1">
      <c r="A86" s="20" t="s">
        <v>107</v>
      </c>
      <c r="B86" s="91"/>
      <c r="C86" s="91"/>
      <c r="D86" s="91"/>
      <c r="E86" s="91"/>
      <c r="F86" s="91"/>
      <c r="G86" s="91"/>
      <c r="H86" s="91"/>
      <c r="I86" s="91"/>
      <c r="J86" s="107" t="s">
        <v>4</v>
      </c>
      <c r="K86" s="108"/>
      <c r="L86" s="108"/>
      <c r="M86" s="108"/>
      <c r="N86" s="108"/>
    </row>
    <row r="87" spans="1:16" ht="19.05" customHeight="1">
      <c r="A87" s="20"/>
      <c r="B87" s="91"/>
      <c r="C87" s="91"/>
      <c r="D87" s="91"/>
      <c r="E87" s="91"/>
      <c r="F87" s="91"/>
      <c r="G87" s="91"/>
      <c r="H87" s="91"/>
      <c r="I87" s="91"/>
      <c r="J87" s="108"/>
      <c r="K87" s="108"/>
      <c r="L87" s="108"/>
      <c r="M87" s="108"/>
      <c r="N87" s="108"/>
    </row>
    <row r="88" spans="1:16" ht="19.05" customHeight="1">
      <c r="A88" s="20"/>
      <c r="B88" s="91"/>
      <c r="C88" s="91"/>
      <c r="D88" s="91"/>
      <c r="E88" s="91"/>
      <c r="F88" s="91"/>
      <c r="G88" s="91"/>
      <c r="H88" s="91"/>
      <c r="I88" s="91"/>
      <c r="J88" s="108"/>
      <c r="K88" s="108"/>
      <c r="L88" s="108"/>
      <c r="M88" s="108"/>
      <c r="N88" s="108"/>
    </row>
    <row r="89" spans="1:16" ht="19.05" customHeight="1">
      <c r="A89" s="20"/>
      <c r="B89" s="91"/>
      <c r="C89" s="91"/>
      <c r="D89" s="91"/>
      <c r="E89" s="91"/>
      <c r="F89" s="91"/>
      <c r="G89" s="91"/>
      <c r="H89" s="91"/>
      <c r="I89" s="91"/>
      <c r="J89" s="108"/>
      <c r="K89" s="108"/>
      <c r="L89" s="108"/>
      <c r="M89" s="108"/>
      <c r="N89" s="108"/>
    </row>
    <row r="90" spans="1:16" ht="19.05" customHeight="1">
      <c r="A90" s="20"/>
      <c r="B90" s="91"/>
      <c r="C90" s="91"/>
      <c r="D90" s="91"/>
      <c r="E90" s="91"/>
      <c r="F90" s="91"/>
      <c r="G90" s="91"/>
      <c r="H90" s="91"/>
      <c r="I90" s="91"/>
      <c r="J90" s="108"/>
      <c r="K90" s="108"/>
      <c r="L90" s="108"/>
      <c r="M90" s="108"/>
      <c r="N90" s="108"/>
    </row>
    <row r="91" spans="1:16" ht="19.05" customHeight="1">
      <c r="A91" s="20"/>
      <c r="B91" s="91"/>
      <c r="C91" s="91"/>
      <c r="D91" s="91"/>
      <c r="E91" s="91"/>
      <c r="F91" s="91"/>
      <c r="G91" s="91"/>
      <c r="H91" s="91"/>
      <c r="I91" s="91"/>
      <c r="J91" s="108"/>
      <c r="K91" s="108"/>
      <c r="L91" s="108"/>
      <c r="M91" s="108"/>
      <c r="N91" s="108"/>
    </row>
    <row r="92" spans="1:16" ht="19.05" customHeight="1">
      <c r="A92" s="20"/>
      <c r="B92" s="91"/>
      <c r="C92" s="91"/>
      <c r="D92" s="91"/>
      <c r="E92" s="91"/>
      <c r="F92" s="91"/>
      <c r="G92" s="91"/>
      <c r="H92" s="91"/>
      <c r="I92" s="91"/>
      <c r="J92" s="108"/>
      <c r="K92" s="108"/>
      <c r="L92" s="108"/>
      <c r="M92" s="108"/>
      <c r="N92" s="108"/>
    </row>
    <row r="93" spans="1:16" ht="19.05" customHeight="1">
      <c r="A93" s="20"/>
      <c r="B93" s="91"/>
      <c r="C93" s="91"/>
      <c r="D93" s="91"/>
      <c r="E93" s="91"/>
      <c r="F93" s="91"/>
      <c r="G93" s="91"/>
      <c r="H93" s="91"/>
      <c r="I93" s="91"/>
      <c r="J93" s="108"/>
      <c r="K93" s="108"/>
      <c r="L93" s="108"/>
      <c r="M93" s="108"/>
      <c r="N93" s="108"/>
    </row>
    <row r="94" spans="1:16" ht="19.05" customHeight="1">
      <c r="A94" s="20"/>
      <c r="B94" s="91"/>
      <c r="C94" s="91"/>
      <c r="D94" s="91"/>
      <c r="E94" s="91"/>
      <c r="F94" s="91"/>
      <c r="G94" s="91"/>
      <c r="H94" s="91"/>
      <c r="I94" s="91"/>
      <c r="J94" s="108"/>
      <c r="K94" s="108"/>
      <c r="L94" s="108"/>
      <c r="M94" s="108"/>
      <c r="N94" s="108"/>
    </row>
    <row r="95" spans="1:16" ht="19.05" customHeight="1">
      <c r="A95" s="20"/>
      <c r="B95" s="91"/>
      <c r="C95" s="91"/>
      <c r="D95" s="91"/>
      <c r="E95" s="91"/>
      <c r="F95" s="91"/>
      <c r="G95" s="91"/>
      <c r="H95" s="91"/>
      <c r="I95" s="91"/>
      <c r="J95" s="108"/>
      <c r="K95" s="108"/>
      <c r="L95" s="108"/>
      <c r="M95" s="108"/>
      <c r="N95" s="108"/>
    </row>
    <row r="96" spans="1:16" ht="19.05" customHeight="1">
      <c r="A96" s="20"/>
      <c r="B96" s="91"/>
      <c r="C96" s="91"/>
      <c r="D96" s="91"/>
      <c r="E96" s="91"/>
      <c r="F96" s="91"/>
      <c r="G96" s="91"/>
      <c r="H96" s="91"/>
      <c r="I96" s="91"/>
      <c r="J96" s="108"/>
      <c r="K96" s="108"/>
      <c r="L96" s="108"/>
      <c r="M96" s="108"/>
      <c r="N96" s="108"/>
    </row>
    <row r="97" spans="1:22" ht="19.05" customHeight="1">
      <c r="A97" s="20"/>
      <c r="B97" s="91"/>
      <c r="C97" s="91"/>
      <c r="D97" s="91"/>
      <c r="E97" s="91"/>
      <c r="F97" s="91"/>
      <c r="G97" s="91"/>
      <c r="H97" s="91"/>
      <c r="I97" s="91"/>
      <c r="J97" s="108"/>
      <c r="K97" s="108"/>
      <c r="L97" s="108"/>
      <c r="M97" s="108"/>
      <c r="N97" s="108"/>
    </row>
    <row r="98" spans="1:22" ht="19.05" customHeight="1">
      <c r="A98" s="20"/>
      <c r="B98" s="91"/>
      <c r="C98" s="91"/>
      <c r="D98" s="91"/>
      <c r="E98" s="91"/>
      <c r="F98" s="91"/>
      <c r="G98" s="91"/>
      <c r="H98" s="91"/>
      <c r="I98" s="91"/>
      <c r="J98" s="108"/>
      <c r="K98" s="108"/>
      <c r="L98" s="108"/>
      <c r="M98" s="108"/>
      <c r="N98" s="108"/>
    </row>
    <row r="99" spans="1:22" ht="19.05" customHeight="1">
      <c r="A99" s="20"/>
      <c r="B99" s="91"/>
      <c r="C99" s="91"/>
      <c r="D99" s="91"/>
      <c r="E99" s="91"/>
      <c r="F99" s="91"/>
      <c r="G99" s="91"/>
      <c r="H99" s="91"/>
      <c r="I99" s="91"/>
      <c r="J99" s="108"/>
      <c r="K99" s="108"/>
      <c r="L99" s="108"/>
      <c r="M99" s="108"/>
      <c r="N99" s="108"/>
    </row>
    <row r="100" spans="1:22" ht="19.05" customHeight="1">
      <c r="A100" s="20"/>
      <c r="B100" s="91"/>
      <c r="C100" s="91"/>
      <c r="D100" s="91"/>
      <c r="E100" s="91"/>
      <c r="F100" s="91"/>
      <c r="G100" s="91"/>
      <c r="H100" s="91"/>
      <c r="I100" s="91"/>
      <c r="J100" s="108"/>
      <c r="K100" s="108"/>
      <c r="L100" s="108"/>
      <c r="M100" s="108"/>
      <c r="N100" s="108"/>
    </row>
    <row r="101" spans="1:22" s="2" customFormat="1" ht="19.95" customHeight="1">
      <c r="A101" s="20" t="s">
        <v>108</v>
      </c>
      <c r="B101" s="11" t="s">
        <v>6</v>
      </c>
      <c r="C101" s="11" t="s">
        <v>7</v>
      </c>
      <c r="D101" s="11" t="s">
        <v>8</v>
      </c>
      <c r="E101" s="11" t="s">
        <v>9</v>
      </c>
      <c r="F101" s="11" t="s">
        <v>10</v>
      </c>
      <c r="G101" s="11" t="s">
        <v>11</v>
      </c>
      <c r="H101" s="11" t="s">
        <v>12</v>
      </c>
      <c r="I101" s="11" t="s">
        <v>13</v>
      </c>
      <c r="J101" s="11" t="s">
        <v>14</v>
      </c>
      <c r="K101" s="11" t="s">
        <v>15</v>
      </c>
      <c r="L101" s="11" t="s">
        <v>16</v>
      </c>
      <c r="M101" s="11" t="s">
        <v>18</v>
      </c>
      <c r="N101" s="11" t="s">
        <v>17</v>
      </c>
      <c r="O101" s="11" t="s">
        <v>50</v>
      </c>
      <c r="P101" s="1"/>
      <c r="U101" s="1"/>
      <c r="V101" s="1"/>
    </row>
    <row r="102" spans="1:22" s="3" customFormat="1" ht="16.5" customHeight="1">
      <c r="A102" s="20" t="s">
        <v>109</v>
      </c>
      <c r="B102" s="24"/>
      <c r="C102" s="30">
        <f>IF(DAY(AprDom1)=1,AprDom1-6,AprDom1+1)</f>
        <v>45747</v>
      </c>
      <c r="D102" s="23"/>
      <c r="E102" s="30">
        <f>IF(DAY(AprDom1)=1,AprDom1-5,AprDom1+2)</f>
        <v>45748</v>
      </c>
      <c r="F102" s="23"/>
      <c r="G102" s="30">
        <f>IF(DAY(AprDom1)=1,AprDom1-4,AprDom1+3)</f>
        <v>45749</v>
      </c>
      <c r="H102" s="23"/>
      <c r="I102" s="30">
        <f>IF(DAY(AprDom1)=1,AprDom1-3,AprDom1+4)</f>
        <v>45750</v>
      </c>
      <c r="J102" s="23"/>
      <c r="K102" s="30">
        <f>IF(DAY(AprDom1)=1,AprDom1-2,AprDom1+5)</f>
        <v>45751</v>
      </c>
      <c r="L102" s="23"/>
      <c r="M102" s="30">
        <f>IF(DAY(AprDom1)=1,AprDom1-1,AprDom1+6)</f>
        <v>45752</v>
      </c>
      <c r="N102" s="23"/>
      <c r="O102" s="38">
        <f>IF(DAY(AprDom1)=1,AprDom1,AprDom1+7)</f>
        <v>45753</v>
      </c>
      <c r="P102" s="4"/>
      <c r="Q102" s="4"/>
      <c r="U102" s="5"/>
      <c r="V102" s="4"/>
    </row>
    <row r="103" spans="1:22" s="53" customFormat="1" ht="25.05" customHeight="1">
      <c r="A103" s="47" t="s">
        <v>110</v>
      </c>
      <c r="B103" s="55"/>
      <c r="C103" s="61"/>
      <c r="D103" s="57" t="s">
        <v>388</v>
      </c>
      <c r="E103" s="61"/>
      <c r="F103" s="57" t="s">
        <v>111</v>
      </c>
      <c r="G103" s="61"/>
      <c r="H103" s="63" t="s">
        <v>112</v>
      </c>
      <c r="I103" s="61"/>
      <c r="J103" s="59" t="s">
        <v>113</v>
      </c>
      <c r="K103" s="61"/>
      <c r="L103" s="57" t="s">
        <v>114</v>
      </c>
      <c r="M103" s="62"/>
      <c r="N103" s="59"/>
      <c r="O103" s="62"/>
    </row>
    <row r="104" spans="1:22" s="4" customFormat="1" ht="16.5" customHeight="1">
      <c r="A104" s="20"/>
      <c r="B104" s="24"/>
      <c r="C104" s="30">
        <f>IF(DAY(AprDom1)=1,AprDom1+1,AprDom1+8)</f>
        <v>45754</v>
      </c>
      <c r="D104" s="23"/>
      <c r="E104" s="30">
        <f>IF(DAY(AprDom1)=1,AprDom1+2,AprDom1+9)</f>
        <v>45755</v>
      </c>
      <c r="F104" s="23"/>
      <c r="G104" s="30">
        <f>IF(DAY(AprDom1)=1,AprDom1+3,AprDom1+10)</f>
        <v>45756</v>
      </c>
      <c r="H104" s="23"/>
      <c r="I104" s="30">
        <f>IF(DAY(AprDom1)=1,AprDom1+4,AprDom1+11)</f>
        <v>45757</v>
      </c>
      <c r="J104" s="23"/>
      <c r="K104" s="30">
        <f>IF(DAY(AprDom1)=1,AprDom1+5,AprDom1+12)</f>
        <v>45758</v>
      </c>
      <c r="L104" s="23"/>
      <c r="M104" s="30">
        <f>IF(DAY(AprDom1)=1,AprDom1+6,AprDom1+13)</f>
        <v>45759</v>
      </c>
      <c r="N104" s="23"/>
      <c r="O104" s="38">
        <f>IF(DAY(AprDom1)=1,AprDom1+7,AprDom1+14)</f>
        <v>45760</v>
      </c>
    </row>
    <row r="105" spans="1:22" s="53" customFormat="1" ht="25.05" customHeight="1">
      <c r="A105" s="47"/>
      <c r="B105" s="65" t="s">
        <v>115</v>
      </c>
      <c r="C105" s="61"/>
      <c r="D105" s="57" t="s">
        <v>116</v>
      </c>
      <c r="E105" s="61"/>
      <c r="F105" s="57" t="s">
        <v>117</v>
      </c>
      <c r="G105" s="61"/>
      <c r="H105" s="63" t="s">
        <v>118</v>
      </c>
      <c r="I105" s="61"/>
      <c r="J105" s="55" t="s">
        <v>119</v>
      </c>
      <c r="K105" s="61"/>
      <c r="L105" s="57" t="s">
        <v>120</v>
      </c>
      <c r="M105" s="62"/>
      <c r="N105" s="59"/>
      <c r="O105" s="62"/>
    </row>
    <row r="106" spans="1:22" s="4" customFormat="1" ht="16.5" customHeight="1">
      <c r="A106" s="20"/>
      <c r="B106" s="42"/>
      <c r="C106" s="30">
        <f>IF(DAY(AprDom1)=1,AprDom1+8,AprDom1+15)</f>
        <v>45761</v>
      </c>
      <c r="D106" s="23"/>
      <c r="E106" s="30">
        <f>IF(DAY(AprDom1)=1,AprDom1+9,AprDom1+16)</f>
        <v>45762</v>
      </c>
      <c r="F106" s="23"/>
      <c r="G106" s="30">
        <f>IF(DAY(AprDom1)=1,AprDom1+10,AprDom1+17)</f>
        <v>45763</v>
      </c>
      <c r="H106" s="23"/>
      <c r="I106" s="30">
        <f>IF(DAY(AprDom1)=1,AprDom1+11,AprDom1+18)</f>
        <v>45764</v>
      </c>
      <c r="J106" s="23"/>
      <c r="K106" s="30">
        <f>IF(DAY(AprDom1)=1,AprDom1+12,AprDom1+19)</f>
        <v>45765</v>
      </c>
      <c r="L106" s="23"/>
      <c r="M106" s="30">
        <f>IF(DAY(AprDom1)=1,AprDom1+13,AprDom1+20)</f>
        <v>45766</v>
      </c>
      <c r="N106" s="23"/>
      <c r="O106" s="38">
        <f>IF(DAY(AprDom1)=1,AprDom1+14,AprDom1+21)</f>
        <v>45767</v>
      </c>
    </row>
    <row r="107" spans="1:22" s="53" customFormat="1" ht="25.05" customHeight="1">
      <c r="A107" s="47"/>
      <c r="B107" s="65" t="s">
        <v>121</v>
      </c>
      <c r="C107" s="61"/>
      <c r="D107" s="57" t="s">
        <v>122</v>
      </c>
      <c r="E107" s="61"/>
      <c r="F107" s="57" t="s">
        <v>123</v>
      </c>
      <c r="G107" s="61"/>
      <c r="H107" s="63" t="s">
        <v>124</v>
      </c>
      <c r="I107" s="61"/>
      <c r="J107" s="55" t="s">
        <v>125</v>
      </c>
      <c r="K107" s="61"/>
      <c r="L107" s="57" t="s">
        <v>126</v>
      </c>
      <c r="M107" s="62"/>
      <c r="N107" s="59"/>
      <c r="O107" s="62"/>
    </row>
    <row r="108" spans="1:22" s="4" customFormat="1" ht="16.5" customHeight="1">
      <c r="A108" s="20"/>
      <c r="B108" s="42"/>
      <c r="C108" s="30">
        <f>IF(DAY(AprDom1)=1,AprDom1+15,AprDom1+22)</f>
        <v>45768</v>
      </c>
      <c r="D108" s="23"/>
      <c r="E108" s="30">
        <f>IF(DAY(AprDom1)=1,AprDom1+16,AprDom1+23)</f>
        <v>45769</v>
      </c>
      <c r="F108" s="23"/>
      <c r="G108" s="30">
        <f>IF(DAY(AprDom1)=1,AprDom1+17,AprDom1+24)</f>
        <v>45770</v>
      </c>
      <c r="H108" s="23"/>
      <c r="I108" s="30">
        <f>IF(DAY(AprDom1)=1,AprDom1+18,AprDom1+25)</f>
        <v>45771</v>
      </c>
      <c r="J108" s="23"/>
      <c r="K108" s="30">
        <f>IF(DAY(AprDom1)=1,AprDom1+19,AprDom1+26)</f>
        <v>45772</v>
      </c>
      <c r="L108" s="23"/>
      <c r="M108" s="30">
        <f>IF(DAY(AprDom1)=1,AprDom1+20,AprDom1+27)</f>
        <v>45773</v>
      </c>
      <c r="N108" s="23"/>
      <c r="O108" s="38">
        <f>IF(DAY(AprDom1)=1,AprDom1+21,AprDom1+28)</f>
        <v>45774</v>
      </c>
    </row>
    <row r="109" spans="1:22" s="53" customFormat="1" ht="25.05" customHeight="1">
      <c r="A109" s="47"/>
      <c r="B109" s="65" t="s">
        <v>127</v>
      </c>
      <c r="C109" s="61"/>
      <c r="D109" s="57" t="s">
        <v>128</v>
      </c>
      <c r="E109" s="61"/>
      <c r="F109" s="57" t="s">
        <v>129</v>
      </c>
      <c r="G109" s="61"/>
      <c r="H109" s="63" t="s">
        <v>130</v>
      </c>
      <c r="I109" s="61"/>
      <c r="J109" s="55" t="s">
        <v>131</v>
      </c>
      <c r="K109" s="61"/>
      <c r="L109" s="57" t="s">
        <v>132</v>
      </c>
      <c r="M109" s="62"/>
      <c r="N109" s="59"/>
      <c r="O109" s="62"/>
    </row>
    <row r="110" spans="1:22" s="4" customFormat="1" ht="16.5" customHeight="1">
      <c r="A110" s="20"/>
      <c r="B110" s="42"/>
      <c r="C110" s="30">
        <f>IF(DAY(AprDom1)=1,AprDom1+22,AprDom1+29)</f>
        <v>45775</v>
      </c>
      <c r="D110" s="23"/>
      <c r="E110" s="30">
        <f>IF(DAY(AprDom1)=1,AprDom1+23,AprDom1+30)</f>
        <v>45776</v>
      </c>
      <c r="F110" s="23"/>
      <c r="G110" s="30">
        <f>IF(DAY(AprDom1)=1,AprDom1+24,AprDom1+31)</f>
        <v>45777</v>
      </c>
      <c r="H110" s="23"/>
      <c r="I110" s="30">
        <f>IF(DAY(AprDom1)=1,AprDom1+25,AprDom1+32)</f>
        <v>45778</v>
      </c>
      <c r="J110" s="23"/>
      <c r="K110" s="30">
        <f>IF(DAY(AprDom1)=1,AprDom1+26,AprDom1+33)</f>
        <v>45779</v>
      </c>
      <c r="L110" s="23"/>
      <c r="M110" s="30">
        <f>IF(DAY(AprDom1)=1,AprDom1+27,AprDom1+34)</f>
        <v>45780</v>
      </c>
      <c r="N110" s="23"/>
      <c r="O110" s="30">
        <f>IF(DAY(AprDom1)=1,AprDom1+28,AprDom1+35)</f>
        <v>45781</v>
      </c>
    </row>
    <row r="111" spans="1:22" s="53" customFormat="1" ht="25.05" customHeight="1">
      <c r="A111" s="47"/>
      <c r="B111" s="65" t="s">
        <v>133</v>
      </c>
      <c r="C111" s="61"/>
      <c r="D111" s="57" t="s">
        <v>134</v>
      </c>
      <c r="E111" s="61"/>
      <c r="F111" s="57" t="s">
        <v>135</v>
      </c>
      <c r="G111" s="61"/>
      <c r="H111" s="57"/>
      <c r="I111" s="61"/>
      <c r="J111" s="57"/>
      <c r="K111" s="61"/>
      <c r="L111" s="57"/>
      <c r="M111" s="62"/>
      <c r="N111" s="59"/>
      <c r="O111" s="62"/>
    </row>
    <row r="112" spans="1:22" ht="14.25" customHeight="1"/>
    <row r="113" spans="1:16" ht="54" customHeight="1">
      <c r="A113" s="20" t="s">
        <v>137</v>
      </c>
      <c r="B113" s="99" t="str">
        <f>TEXT(DATE(AnnoCalendario,5,1),"mmmm")</f>
        <v>maggio</v>
      </c>
      <c r="C113" s="99"/>
      <c r="D113" s="99"/>
      <c r="E113" s="99"/>
      <c r="F113" s="99"/>
      <c r="G113" s="99"/>
      <c r="H113" s="99"/>
      <c r="I113" s="99"/>
      <c r="J113" s="92" t="s">
        <v>1</v>
      </c>
      <c r="K113" s="93"/>
      <c r="L113" s="93"/>
      <c r="M113" s="103">
        <f>AnnoCalendario</f>
        <v>2025</v>
      </c>
      <c r="N113" s="103"/>
      <c r="O113" s="103"/>
      <c r="P113" s="103"/>
    </row>
    <row r="114" spans="1:16" ht="19.05" customHeight="1">
      <c r="A114" s="20" t="s">
        <v>138</v>
      </c>
      <c r="B114" s="91"/>
      <c r="C114" s="91"/>
      <c r="D114" s="91"/>
      <c r="E114" s="91"/>
      <c r="F114" s="91"/>
      <c r="G114" s="91"/>
      <c r="H114" s="91"/>
      <c r="I114" s="91"/>
      <c r="J114" s="107" t="s">
        <v>4</v>
      </c>
      <c r="K114" s="108"/>
      <c r="L114" s="108"/>
      <c r="M114" s="108"/>
      <c r="N114" s="108"/>
    </row>
    <row r="115" spans="1:16" ht="19.05" customHeight="1">
      <c r="A115" s="20"/>
      <c r="B115" s="91"/>
      <c r="C115" s="91"/>
      <c r="D115" s="91"/>
      <c r="E115" s="91"/>
      <c r="F115" s="91"/>
      <c r="G115" s="91"/>
      <c r="H115" s="91"/>
      <c r="I115" s="91"/>
      <c r="J115" s="108"/>
      <c r="K115" s="108"/>
      <c r="L115" s="108"/>
      <c r="M115" s="108"/>
      <c r="N115" s="108"/>
    </row>
    <row r="116" spans="1:16" ht="19.05" customHeight="1">
      <c r="A116" s="20"/>
      <c r="B116" s="91"/>
      <c r="C116" s="91"/>
      <c r="D116" s="91"/>
      <c r="E116" s="91"/>
      <c r="F116" s="91"/>
      <c r="G116" s="91"/>
      <c r="H116" s="91"/>
      <c r="I116" s="91"/>
      <c r="J116" s="108"/>
      <c r="K116" s="108"/>
      <c r="L116" s="108"/>
      <c r="M116" s="108"/>
      <c r="N116" s="108"/>
    </row>
    <row r="117" spans="1:16" ht="19.05" customHeight="1">
      <c r="A117" s="20"/>
      <c r="B117" s="91"/>
      <c r="C117" s="91"/>
      <c r="D117" s="91"/>
      <c r="E117" s="91"/>
      <c r="F117" s="91"/>
      <c r="G117" s="91"/>
      <c r="H117" s="91"/>
      <c r="I117" s="91"/>
      <c r="J117" s="108"/>
      <c r="K117" s="108"/>
      <c r="L117" s="108"/>
      <c r="M117" s="108"/>
      <c r="N117" s="108"/>
    </row>
    <row r="118" spans="1:16" ht="19.05" customHeight="1">
      <c r="A118" s="20"/>
      <c r="B118" s="91"/>
      <c r="C118" s="91"/>
      <c r="D118" s="91"/>
      <c r="E118" s="91"/>
      <c r="F118" s="91"/>
      <c r="G118" s="91"/>
      <c r="H118" s="91"/>
      <c r="I118" s="91"/>
      <c r="J118" s="108"/>
      <c r="K118" s="108"/>
      <c r="L118" s="108"/>
      <c r="M118" s="108"/>
      <c r="N118" s="108"/>
    </row>
    <row r="119" spans="1:16" ht="19.05" customHeight="1">
      <c r="A119" s="20"/>
      <c r="B119" s="91"/>
      <c r="C119" s="91"/>
      <c r="D119" s="91"/>
      <c r="E119" s="91"/>
      <c r="F119" s="91"/>
      <c r="G119" s="91"/>
      <c r="H119" s="91"/>
      <c r="I119" s="91"/>
      <c r="J119" s="108"/>
      <c r="K119" s="108"/>
      <c r="L119" s="108"/>
      <c r="M119" s="108"/>
      <c r="N119" s="108"/>
    </row>
    <row r="120" spans="1:16" ht="19.05" customHeight="1">
      <c r="A120" s="20"/>
      <c r="B120" s="91"/>
      <c r="C120" s="91"/>
      <c r="D120" s="91"/>
      <c r="E120" s="91"/>
      <c r="F120" s="91"/>
      <c r="G120" s="91"/>
      <c r="H120" s="91"/>
      <c r="I120" s="91"/>
      <c r="J120" s="108"/>
      <c r="K120" s="108"/>
      <c r="L120" s="108"/>
      <c r="M120" s="108"/>
      <c r="N120" s="108"/>
    </row>
    <row r="121" spans="1:16" ht="19.05" customHeight="1">
      <c r="A121" s="20"/>
      <c r="B121" s="91"/>
      <c r="C121" s="91"/>
      <c r="D121" s="91"/>
      <c r="E121" s="91"/>
      <c r="F121" s="91"/>
      <c r="G121" s="91"/>
      <c r="H121" s="91"/>
      <c r="I121" s="91"/>
      <c r="J121" s="108"/>
      <c r="K121" s="108"/>
      <c r="L121" s="108"/>
      <c r="M121" s="108"/>
      <c r="N121" s="108"/>
    </row>
    <row r="122" spans="1:16" ht="19.05" customHeight="1">
      <c r="A122" s="20"/>
      <c r="B122" s="91"/>
      <c r="C122" s="91"/>
      <c r="D122" s="91"/>
      <c r="E122" s="91"/>
      <c r="F122" s="91"/>
      <c r="G122" s="91"/>
      <c r="H122" s="91"/>
      <c r="I122" s="91"/>
      <c r="J122" s="108"/>
      <c r="K122" s="108"/>
      <c r="L122" s="108"/>
      <c r="M122" s="108"/>
      <c r="N122" s="108"/>
    </row>
    <row r="123" spans="1:16" ht="19.05" customHeight="1">
      <c r="A123" s="20"/>
      <c r="B123" s="91"/>
      <c r="C123" s="91"/>
      <c r="D123" s="91"/>
      <c r="E123" s="91"/>
      <c r="F123" s="91"/>
      <c r="G123" s="91"/>
      <c r="H123" s="91"/>
      <c r="I123" s="91"/>
      <c r="J123" s="108"/>
      <c r="K123" s="108"/>
      <c r="L123" s="108"/>
      <c r="M123" s="108"/>
      <c r="N123" s="108"/>
    </row>
    <row r="124" spans="1:16" ht="19.05" customHeight="1">
      <c r="A124" s="20"/>
      <c r="B124" s="91"/>
      <c r="C124" s="91"/>
      <c r="D124" s="91"/>
      <c r="E124" s="91"/>
      <c r="F124" s="91"/>
      <c r="G124" s="91"/>
      <c r="H124" s="91"/>
      <c r="I124" s="91"/>
      <c r="J124" s="108"/>
      <c r="K124" s="108"/>
      <c r="L124" s="108"/>
      <c r="M124" s="108"/>
      <c r="N124" s="108"/>
    </row>
    <row r="125" spans="1:16" ht="19.05" customHeight="1">
      <c r="A125" s="20"/>
      <c r="B125" s="91"/>
      <c r="C125" s="91"/>
      <c r="D125" s="91"/>
      <c r="E125" s="91"/>
      <c r="F125" s="91"/>
      <c r="G125" s="91"/>
      <c r="H125" s="91"/>
      <c r="I125" s="91"/>
      <c r="J125" s="108"/>
      <c r="K125" s="108"/>
      <c r="L125" s="108"/>
      <c r="M125" s="108"/>
      <c r="N125" s="108"/>
    </row>
    <row r="126" spans="1:16" ht="19.05" customHeight="1">
      <c r="A126" s="20"/>
      <c r="B126" s="91"/>
      <c r="C126" s="91"/>
      <c r="D126" s="91"/>
      <c r="E126" s="91"/>
      <c r="F126" s="91"/>
      <c r="G126" s="91"/>
      <c r="H126" s="91"/>
      <c r="I126" s="91"/>
      <c r="J126" s="108"/>
      <c r="K126" s="108"/>
      <c r="L126" s="108"/>
      <c r="M126" s="108"/>
      <c r="N126" s="108"/>
    </row>
    <row r="127" spans="1:16" ht="19.05" customHeight="1">
      <c r="A127" s="20"/>
      <c r="B127" s="91"/>
      <c r="C127" s="91"/>
      <c r="D127" s="91"/>
      <c r="E127" s="91"/>
      <c r="F127" s="91"/>
      <c r="G127" s="91"/>
      <c r="H127" s="91"/>
      <c r="I127" s="91"/>
      <c r="J127" s="108"/>
      <c r="K127" s="108"/>
      <c r="L127" s="108"/>
      <c r="M127" s="108"/>
      <c r="N127" s="108"/>
    </row>
    <row r="128" spans="1:16" ht="19.05" customHeight="1">
      <c r="A128" s="20"/>
      <c r="B128" s="91"/>
      <c r="C128" s="91"/>
      <c r="D128" s="91"/>
      <c r="E128" s="91"/>
      <c r="F128" s="91"/>
      <c r="G128" s="91"/>
      <c r="H128" s="91"/>
      <c r="I128" s="91"/>
      <c r="J128" s="108"/>
      <c r="K128" s="108"/>
      <c r="L128" s="108"/>
      <c r="M128" s="108"/>
      <c r="N128" s="108"/>
    </row>
    <row r="129" spans="1:22" s="2" customFormat="1" ht="19.95" customHeight="1">
      <c r="A129" s="20" t="s">
        <v>139</v>
      </c>
      <c r="B129" s="11" t="s">
        <v>6</v>
      </c>
      <c r="C129" s="11" t="s">
        <v>7</v>
      </c>
      <c r="D129" s="11" t="s">
        <v>8</v>
      </c>
      <c r="E129" s="11" t="s">
        <v>9</v>
      </c>
      <c r="F129" s="11" t="s">
        <v>10</v>
      </c>
      <c r="G129" s="11" t="s">
        <v>11</v>
      </c>
      <c r="H129" s="11" t="s">
        <v>12</v>
      </c>
      <c r="I129" s="11" t="s">
        <v>13</v>
      </c>
      <c r="J129" s="11" t="s">
        <v>14</v>
      </c>
      <c r="K129" s="11" t="s">
        <v>15</v>
      </c>
      <c r="L129" s="11" t="s">
        <v>16</v>
      </c>
      <c r="M129" s="11" t="s">
        <v>18</v>
      </c>
      <c r="N129" s="11" t="s">
        <v>17</v>
      </c>
      <c r="O129" s="11" t="s">
        <v>50</v>
      </c>
      <c r="P129" s="1"/>
      <c r="U129" s="1"/>
      <c r="V129" s="1"/>
    </row>
    <row r="130" spans="1:22" s="3" customFormat="1" ht="16.5" customHeight="1">
      <c r="A130" s="20" t="s">
        <v>140</v>
      </c>
      <c r="B130" s="24"/>
      <c r="C130" s="30">
        <f>IF(DAY(MagDom1)=1,MagDom1-6,MagDom1+1)</f>
        <v>45775</v>
      </c>
      <c r="D130" s="23"/>
      <c r="E130" s="30">
        <f>IF(DAY(MagDom1)=1,MagDom1-5,MagDom1+2)</f>
        <v>45776</v>
      </c>
      <c r="F130" s="23"/>
      <c r="G130" s="30">
        <f>IF(DAY(MagDom1)=1,MagDom1-4,MagDom1+3)</f>
        <v>45777</v>
      </c>
      <c r="H130" s="23"/>
      <c r="I130" s="30">
        <f>IF(DAY(MagDom1)=1,MagDom1-3,MagDom1+4)</f>
        <v>45778</v>
      </c>
      <c r="J130" s="23"/>
      <c r="K130" s="30">
        <f>IF(DAY(MagDom1)=1,MagDom1-2,MagDom1+5)</f>
        <v>45779</v>
      </c>
      <c r="L130" s="23"/>
      <c r="M130" s="30">
        <f>IF(DAY(MagDom1)=1,MagDom1-1,MagDom1+6)</f>
        <v>45780</v>
      </c>
      <c r="N130" s="23"/>
      <c r="O130" s="38">
        <f>IF(DAY(MagDom1)=1,MagDom1,MagDom1+7)</f>
        <v>45781</v>
      </c>
      <c r="P130" s="4"/>
      <c r="Q130" s="4"/>
      <c r="U130" s="5"/>
      <c r="V130" s="4"/>
    </row>
    <row r="131" spans="1:22" s="53" customFormat="1" ht="25.05" customHeight="1">
      <c r="A131" s="47" t="s">
        <v>141</v>
      </c>
      <c r="B131" s="64"/>
      <c r="C131" s="61"/>
      <c r="D131" s="59"/>
      <c r="E131" s="61"/>
      <c r="F131" s="55"/>
      <c r="G131" s="61"/>
      <c r="H131" s="64" t="s">
        <v>136</v>
      </c>
      <c r="I131" s="61"/>
      <c r="J131" s="59" t="s">
        <v>142</v>
      </c>
      <c r="K131" s="61"/>
      <c r="L131" s="55" t="s">
        <v>143</v>
      </c>
      <c r="M131" s="62"/>
      <c r="N131" s="59"/>
      <c r="O131" s="62"/>
    </row>
    <row r="132" spans="1:22" s="4" customFormat="1" ht="16.5" customHeight="1">
      <c r="A132" s="20"/>
      <c r="B132" s="42"/>
      <c r="C132" s="30">
        <f>IF(DAY(MagDom1)=1,MagDom1+1,MagDom1+8)</f>
        <v>45782</v>
      </c>
      <c r="D132" s="23"/>
      <c r="E132" s="30">
        <f>IF(DAY(MagDom1)=1,MagDom1+2,MagDom1+9)</f>
        <v>45783</v>
      </c>
      <c r="F132" s="23"/>
      <c r="G132" s="30">
        <f>IF(DAY(MagDom1)=1,MagDom1+3,MagDom1+10)</f>
        <v>45784</v>
      </c>
      <c r="H132" s="23"/>
      <c r="I132" s="30">
        <f>IF(DAY(MagDom1)=1,MagDom1+4,MagDom1+11)</f>
        <v>45785</v>
      </c>
      <c r="J132" s="23"/>
      <c r="K132" s="30">
        <f>IF(DAY(MagDom1)=1,MagDom1+5,MagDom1+12)</f>
        <v>45786</v>
      </c>
      <c r="L132" s="23"/>
      <c r="M132" s="30">
        <f>IF(DAY(MagDom1)=1,MagDom1+6,MagDom1+13)</f>
        <v>45787</v>
      </c>
      <c r="N132" s="23"/>
      <c r="O132" s="38">
        <f>IF(DAY(MagDom1)=1,MagDom1+7,MagDom1+14)</f>
        <v>45788</v>
      </c>
    </row>
    <row r="133" spans="1:22" s="53" customFormat="1" ht="25.05" customHeight="1">
      <c r="A133" s="47"/>
      <c r="B133" s="65" t="s">
        <v>144</v>
      </c>
      <c r="C133" s="61"/>
      <c r="D133" s="57" t="s">
        <v>145</v>
      </c>
      <c r="E133" s="61"/>
      <c r="F133" s="57" t="s">
        <v>146</v>
      </c>
      <c r="G133" s="61"/>
      <c r="H133" s="65" t="s">
        <v>147</v>
      </c>
      <c r="I133" s="61"/>
      <c r="J133" s="59" t="s">
        <v>148</v>
      </c>
      <c r="K133" s="61"/>
      <c r="L133" s="57" t="s">
        <v>149</v>
      </c>
      <c r="M133" s="62"/>
      <c r="N133" s="59"/>
      <c r="O133" s="62"/>
    </row>
    <row r="134" spans="1:22" s="4" customFormat="1" ht="16.5" customHeight="1">
      <c r="A134" s="20"/>
      <c r="B134" s="42"/>
      <c r="C134" s="30">
        <f>IF(DAY(MagDom1)=1,MagDom1+8,MagDom1+15)</f>
        <v>45789</v>
      </c>
      <c r="D134" s="23"/>
      <c r="E134" s="30">
        <f>IF(DAY(MagDom1)=1,MagDom1+9,MagDom1+16)</f>
        <v>45790</v>
      </c>
      <c r="F134" s="23"/>
      <c r="G134" s="30">
        <f>IF(DAY(MagDom1)=1,MagDom1+10,MagDom1+17)</f>
        <v>45791</v>
      </c>
      <c r="H134" s="23"/>
      <c r="I134" s="30">
        <f>IF(DAY(MagDom1)=1,MagDom1+11,MagDom1+18)</f>
        <v>45792</v>
      </c>
      <c r="J134" s="23"/>
      <c r="K134" s="30">
        <f>IF(DAY(MagDom1)=1,MagDom1+12,MagDom1+19)</f>
        <v>45793</v>
      </c>
      <c r="L134" s="23"/>
      <c r="M134" s="30">
        <f>IF(DAY(MagDom1)=1,MagDom1+13,MagDom1+20)</f>
        <v>45794</v>
      </c>
      <c r="N134" s="23"/>
      <c r="O134" s="38">
        <f>IF(DAY(MagDom1)=1,MagDom1+14,MagDom1+21)</f>
        <v>45795</v>
      </c>
    </row>
    <row r="135" spans="1:22" s="53" customFormat="1" ht="25.05" customHeight="1">
      <c r="A135" s="47"/>
      <c r="B135" s="65" t="s">
        <v>150</v>
      </c>
      <c r="C135" s="61"/>
      <c r="D135" s="57" t="s">
        <v>151</v>
      </c>
      <c r="E135" s="61"/>
      <c r="F135" s="57" t="s">
        <v>152</v>
      </c>
      <c r="G135" s="61"/>
      <c r="H135" s="64" t="s">
        <v>153</v>
      </c>
      <c r="I135" s="61"/>
      <c r="J135" s="59" t="s">
        <v>154</v>
      </c>
      <c r="K135" s="61"/>
      <c r="L135" s="57" t="s">
        <v>155</v>
      </c>
      <c r="M135" s="62"/>
      <c r="N135" s="59"/>
      <c r="O135" s="62"/>
    </row>
    <row r="136" spans="1:22" s="4" customFormat="1" ht="16.5" customHeight="1">
      <c r="A136" s="20"/>
      <c r="B136" s="42"/>
      <c r="C136" s="30">
        <f>IF(DAY(MagDom1)=1,MagDom1+15,MagDom1+22)</f>
        <v>45796</v>
      </c>
      <c r="D136" s="23"/>
      <c r="E136" s="30">
        <f>IF(DAY(MagDom1)=1,MagDom1+16,MagDom1+23)</f>
        <v>45797</v>
      </c>
      <c r="F136" s="23"/>
      <c r="G136" s="30">
        <f>IF(DAY(MagDom1)=1,MagDom1+17,MagDom1+24)</f>
        <v>45798</v>
      </c>
      <c r="H136" s="23"/>
      <c r="I136" s="30">
        <f>IF(DAY(MagDom1)=1,MagDom1+18,MagDom1+25)</f>
        <v>45799</v>
      </c>
      <c r="J136" s="23"/>
      <c r="K136" s="30">
        <f>IF(DAY(MagDom1)=1,MagDom1+19,MagDom1+26)</f>
        <v>45800</v>
      </c>
      <c r="L136" s="23"/>
      <c r="M136" s="30">
        <f>IF(DAY(MagDom1)=1,MagDom1+20,MagDom1+27)</f>
        <v>45801</v>
      </c>
      <c r="N136" s="23"/>
      <c r="O136" s="38">
        <f>IF(DAY(MagDom1)=1,MagDom1+21,MagDom1+28)</f>
        <v>45802</v>
      </c>
    </row>
    <row r="137" spans="1:22" s="53" customFormat="1" ht="25.05" customHeight="1">
      <c r="A137" s="47"/>
      <c r="B137" s="65" t="s">
        <v>156</v>
      </c>
      <c r="C137" s="61"/>
      <c r="D137" s="57" t="s">
        <v>157</v>
      </c>
      <c r="E137" s="61"/>
      <c r="F137" s="57" t="s">
        <v>158</v>
      </c>
      <c r="G137" s="61"/>
      <c r="H137" s="64" t="s">
        <v>159</v>
      </c>
      <c r="I137" s="61"/>
      <c r="J137" s="55" t="s">
        <v>160</v>
      </c>
      <c r="K137" s="61"/>
      <c r="L137" s="57" t="s">
        <v>161</v>
      </c>
      <c r="M137" s="62"/>
      <c r="N137" s="59"/>
      <c r="O137" s="62"/>
    </row>
    <row r="138" spans="1:22" s="4" customFormat="1" ht="16.5" customHeight="1">
      <c r="A138" s="20"/>
      <c r="B138" s="42"/>
      <c r="C138" s="30">
        <f>IF(DAY(MagDom1)=1,MagDom1+22,MagDom1+29)</f>
        <v>45803</v>
      </c>
      <c r="D138" s="23"/>
      <c r="E138" s="30">
        <f>IF(DAY(MagDom1)=1,MagDom1+23,MagDom1+30)</f>
        <v>45804</v>
      </c>
      <c r="F138" s="23"/>
      <c r="G138" s="30">
        <f>IF(DAY(MagDom1)=1,MagDom1+24,MagDom1+31)</f>
        <v>45805</v>
      </c>
      <c r="H138" s="23"/>
      <c r="I138" s="30">
        <f>IF(DAY(MagDom1)=1,MagDom1+25,MagDom1+32)</f>
        <v>45806</v>
      </c>
      <c r="J138" s="23"/>
      <c r="K138" s="30">
        <f>IF(DAY(MagDom1)=1,MagDom1+26,MagDom1+33)</f>
        <v>45807</v>
      </c>
      <c r="L138" s="23"/>
      <c r="M138" s="30">
        <f>IF(DAY(MagDom1)=1,MagDom1+27,MagDom1+34)</f>
        <v>45808</v>
      </c>
      <c r="N138" s="23"/>
      <c r="O138" s="38">
        <f>IF(DAY(MagDom1)=1,MagDom1+28,MagDom1+35)</f>
        <v>45809</v>
      </c>
    </row>
    <row r="139" spans="1:22" s="53" customFormat="1" ht="25.05" customHeight="1">
      <c r="A139" s="47"/>
      <c r="B139" s="65" t="s">
        <v>162</v>
      </c>
      <c r="C139" s="61"/>
      <c r="D139" s="57" t="s">
        <v>163</v>
      </c>
      <c r="E139" s="61"/>
      <c r="F139" s="57" t="s">
        <v>164</v>
      </c>
      <c r="G139" s="61"/>
      <c r="H139" s="64" t="s">
        <v>165</v>
      </c>
      <c r="I139" s="61"/>
      <c r="J139" s="55" t="s">
        <v>166</v>
      </c>
      <c r="K139" s="61"/>
      <c r="L139" s="57" t="s">
        <v>167</v>
      </c>
      <c r="M139" s="62"/>
      <c r="N139" s="59"/>
      <c r="O139" s="62"/>
    </row>
    <row r="140" spans="1:22" ht="14.25" customHeight="1"/>
    <row r="141" spans="1:22" ht="54" customHeight="1">
      <c r="A141" s="20" t="s">
        <v>168</v>
      </c>
      <c r="B141" s="95" t="str">
        <f>TEXT(DATE(AnnoCalendario,6,1),"mmmm")</f>
        <v>giugno</v>
      </c>
      <c r="C141" s="95"/>
      <c r="D141" s="95"/>
      <c r="E141" s="95"/>
      <c r="F141" s="95"/>
      <c r="G141" s="95"/>
      <c r="H141" s="95"/>
      <c r="I141" s="95"/>
      <c r="J141" s="92" t="s">
        <v>1</v>
      </c>
      <c r="K141" s="92"/>
      <c r="L141" s="92"/>
      <c r="M141" s="110">
        <f>AnnoCalendario</f>
        <v>2025</v>
      </c>
      <c r="N141" s="110"/>
      <c r="O141" s="110"/>
      <c r="P141" s="110"/>
    </row>
    <row r="142" spans="1:22" ht="19.05" customHeight="1">
      <c r="A142" s="20" t="s">
        <v>169</v>
      </c>
      <c r="B142" s="91"/>
      <c r="C142" s="91"/>
      <c r="D142" s="91"/>
      <c r="E142" s="91"/>
      <c r="F142" s="91"/>
      <c r="G142" s="91"/>
      <c r="H142" s="91"/>
      <c r="I142" s="91"/>
      <c r="J142" s="107" t="s">
        <v>4</v>
      </c>
      <c r="K142" s="108"/>
      <c r="L142" s="108"/>
      <c r="M142" s="108"/>
      <c r="N142" s="108"/>
    </row>
    <row r="143" spans="1:22" ht="19.05" customHeight="1">
      <c r="A143" s="20"/>
      <c r="B143" s="91"/>
      <c r="C143" s="91"/>
      <c r="D143" s="91"/>
      <c r="E143" s="91"/>
      <c r="F143" s="91"/>
      <c r="G143" s="91"/>
      <c r="H143" s="91"/>
      <c r="I143" s="91"/>
      <c r="J143" s="108"/>
      <c r="K143" s="108"/>
      <c r="L143" s="108"/>
      <c r="M143" s="108"/>
      <c r="N143" s="108"/>
    </row>
    <row r="144" spans="1:22" ht="19.05" customHeight="1">
      <c r="A144" s="20"/>
      <c r="B144" s="91"/>
      <c r="C144" s="91"/>
      <c r="D144" s="91"/>
      <c r="E144" s="91"/>
      <c r="F144" s="91"/>
      <c r="G144" s="91"/>
      <c r="H144" s="91"/>
      <c r="I144" s="91"/>
      <c r="J144" s="108"/>
      <c r="K144" s="108"/>
      <c r="L144" s="108"/>
      <c r="M144" s="108"/>
      <c r="N144" s="108"/>
    </row>
    <row r="145" spans="1:22" ht="19.05" customHeight="1">
      <c r="A145" s="20"/>
      <c r="B145" s="91"/>
      <c r="C145" s="91"/>
      <c r="D145" s="91"/>
      <c r="E145" s="91"/>
      <c r="F145" s="91"/>
      <c r="G145" s="91"/>
      <c r="H145" s="91"/>
      <c r="I145" s="91"/>
      <c r="J145" s="108"/>
      <c r="K145" s="108"/>
      <c r="L145" s="108"/>
      <c r="M145" s="108"/>
      <c r="N145" s="108"/>
    </row>
    <row r="146" spans="1:22" ht="19.05" customHeight="1">
      <c r="A146" s="20"/>
      <c r="B146" s="91"/>
      <c r="C146" s="91"/>
      <c r="D146" s="91"/>
      <c r="E146" s="91"/>
      <c r="F146" s="91"/>
      <c r="G146" s="91"/>
      <c r="H146" s="91"/>
      <c r="I146" s="91"/>
      <c r="J146" s="108"/>
      <c r="K146" s="108"/>
      <c r="L146" s="108"/>
      <c r="M146" s="108"/>
      <c r="N146" s="108"/>
    </row>
    <row r="147" spans="1:22" ht="19.05" customHeight="1">
      <c r="A147" s="20"/>
      <c r="B147" s="91"/>
      <c r="C147" s="91"/>
      <c r="D147" s="91"/>
      <c r="E147" s="91"/>
      <c r="F147" s="91"/>
      <c r="G147" s="91"/>
      <c r="H147" s="91"/>
      <c r="I147" s="91"/>
      <c r="J147" s="108"/>
      <c r="K147" s="108"/>
      <c r="L147" s="108"/>
      <c r="M147" s="108"/>
      <c r="N147" s="108"/>
    </row>
    <row r="148" spans="1:22" ht="19.05" customHeight="1">
      <c r="A148" s="20"/>
      <c r="B148" s="91"/>
      <c r="C148" s="91"/>
      <c r="D148" s="91"/>
      <c r="E148" s="91"/>
      <c r="F148" s="91"/>
      <c r="G148" s="91"/>
      <c r="H148" s="91"/>
      <c r="I148" s="91"/>
      <c r="J148" s="108"/>
      <c r="K148" s="108"/>
      <c r="L148" s="108"/>
      <c r="M148" s="108"/>
      <c r="N148" s="108"/>
    </row>
    <row r="149" spans="1:22" ht="19.05" customHeight="1">
      <c r="A149" s="20"/>
      <c r="B149" s="91"/>
      <c r="C149" s="91"/>
      <c r="D149" s="91"/>
      <c r="E149" s="91"/>
      <c r="F149" s="91"/>
      <c r="G149" s="91"/>
      <c r="H149" s="91"/>
      <c r="I149" s="91"/>
      <c r="J149" s="108"/>
      <c r="K149" s="108"/>
      <c r="L149" s="108"/>
      <c r="M149" s="108"/>
      <c r="N149" s="108"/>
    </row>
    <row r="150" spans="1:22" ht="19.05" customHeight="1">
      <c r="A150" s="20"/>
      <c r="B150" s="91"/>
      <c r="C150" s="91"/>
      <c r="D150" s="91"/>
      <c r="E150" s="91"/>
      <c r="F150" s="91"/>
      <c r="G150" s="91"/>
      <c r="H150" s="91"/>
      <c r="I150" s="91"/>
      <c r="J150" s="108"/>
      <c r="K150" s="108"/>
      <c r="L150" s="108"/>
      <c r="M150" s="108"/>
      <c r="N150" s="108"/>
    </row>
    <row r="151" spans="1:22" ht="19.05" customHeight="1">
      <c r="A151" s="20"/>
      <c r="B151" s="91"/>
      <c r="C151" s="91"/>
      <c r="D151" s="91"/>
      <c r="E151" s="91"/>
      <c r="F151" s="91"/>
      <c r="G151" s="91"/>
      <c r="H151" s="91"/>
      <c r="I151" s="91"/>
      <c r="J151" s="108"/>
      <c r="K151" s="108"/>
      <c r="L151" s="108"/>
      <c r="M151" s="108"/>
      <c r="N151" s="108"/>
    </row>
    <row r="152" spans="1:22" ht="19.05" customHeight="1">
      <c r="A152" s="20"/>
      <c r="B152" s="91"/>
      <c r="C152" s="91"/>
      <c r="D152" s="91"/>
      <c r="E152" s="91"/>
      <c r="F152" s="91"/>
      <c r="G152" s="91"/>
      <c r="H152" s="91"/>
      <c r="I152" s="91"/>
      <c r="J152" s="108"/>
      <c r="K152" s="108"/>
      <c r="L152" s="108"/>
      <c r="M152" s="108"/>
      <c r="N152" s="108"/>
    </row>
    <row r="153" spans="1:22" ht="19.05" customHeight="1">
      <c r="A153" s="20"/>
      <c r="B153" s="91"/>
      <c r="C153" s="91"/>
      <c r="D153" s="91"/>
      <c r="E153" s="91"/>
      <c r="F153" s="91"/>
      <c r="G153" s="91"/>
      <c r="H153" s="91"/>
      <c r="I153" s="91"/>
      <c r="J153" s="108"/>
      <c r="K153" s="108"/>
      <c r="L153" s="108"/>
      <c r="M153" s="108"/>
      <c r="N153" s="108"/>
    </row>
    <row r="154" spans="1:22" ht="19.05" customHeight="1">
      <c r="A154" s="20"/>
      <c r="B154" s="91"/>
      <c r="C154" s="91"/>
      <c r="D154" s="91"/>
      <c r="E154" s="91"/>
      <c r="F154" s="91"/>
      <c r="G154" s="91"/>
      <c r="H154" s="91"/>
      <c r="I154" s="91"/>
      <c r="J154" s="108"/>
      <c r="K154" s="108"/>
      <c r="L154" s="108"/>
      <c r="M154" s="108"/>
      <c r="N154" s="108"/>
    </row>
    <row r="155" spans="1:22" s="2" customFormat="1" ht="27" customHeight="1">
      <c r="A155" s="20" t="s">
        <v>170</v>
      </c>
      <c r="B155" s="16" t="s">
        <v>6</v>
      </c>
      <c r="C155" s="16" t="s">
        <v>7</v>
      </c>
      <c r="D155" s="16" t="s">
        <v>8</v>
      </c>
      <c r="E155" s="16" t="s">
        <v>9</v>
      </c>
      <c r="F155" s="16" t="s">
        <v>10</v>
      </c>
      <c r="G155" s="16" t="s">
        <v>11</v>
      </c>
      <c r="H155" s="16" t="s">
        <v>12</v>
      </c>
      <c r="I155" s="16" t="s">
        <v>13</v>
      </c>
      <c r="J155" s="16" t="s">
        <v>14</v>
      </c>
      <c r="K155" s="16" t="s">
        <v>15</v>
      </c>
      <c r="L155" s="16" t="s">
        <v>16</v>
      </c>
      <c r="M155" s="16" t="s">
        <v>18</v>
      </c>
      <c r="N155" s="16" t="s">
        <v>17</v>
      </c>
      <c r="O155" s="16" t="s">
        <v>50</v>
      </c>
      <c r="P155" s="1"/>
      <c r="U155" s="1"/>
      <c r="V155" s="1"/>
    </row>
    <row r="156" spans="1:22" s="3" customFormat="1" ht="16.5" customHeight="1">
      <c r="A156" s="20" t="s">
        <v>171</v>
      </c>
      <c r="B156" s="25"/>
      <c r="C156" s="31">
        <f>IF(DAY(GiuDom1)=1,GiuDom1-6,GiuDom1+1)</f>
        <v>45803</v>
      </c>
      <c r="D156" s="25"/>
      <c r="E156" s="31">
        <f>IF(DAY(GiuDom1)=1,GiuDom1-5,GiuDom1+2)</f>
        <v>45804</v>
      </c>
      <c r="F156" s="25"/>
      <c r="G156" s="41">
        <f>IF(DAY(GiuDom1)=1,GiuDom1-4,GiuDom1+3)</f>
        <v>45805</v>
      </c>
      <c r="H156" s="40"/>
      <c r="I156" s="39">
        <f>IF(DAY(GiuDom1)=1,GiuDom1-3,GiuDom1+4)</f>
        <v>45806</v>
      </c>
      <c r="J156" s="40"/>
      <c r="K156" s="31">
        <f>IF(DAY(GiuDom1)=1,GiuDom1-2,GiuDom1+5)</f>
        <v>45807</v>
      </c>
      <c r="L156" s="40"/>
      <c r="M156" s="39">
        <f>IF(DAY(GiuDom1)=1,GiuDom1-1,GiuDom1+6)</f>
        <v>45808</v>
      </c>
      <c r="N156" s="25"/>
      <c r="O156" s="39">
        <f>IF(DAY(GiuDom1)=1,GiuDom1,GiuDom1+7)</f>
        <v>45809</v>
      </c>
      <c r="P156" s="4"/>
      <c r="Q156" s="4"/>
      <c r="U156" s="5"/>
      <c r="V156" s="4"/>
    </row>
    <row r="157" spans="1:22" s="53" customFormat="1" ht="25.05" customHeight="1">
      <c r="A157" s="47" t="s">
        <v>172</v>
      </c>
      <c r="B157" s="66"/>
      <c r="C157" s="67"/>
      <c r="D157" s="68"/>
      <c r="E157" s="67"/>
      <c r="F157" s="68"/>
      <c r="G157" s="67"/>
      <c r="H157" s="68"/>
      <c r="I157" s="67"/>
      <c r="J157" s="68"/>
      <c r="K157" s="67"/>
      <c r="L157" s="68"/>
      <c r="M157" s="69"/>
      <c r="N157" s="70"/>
      <c r="O157" s="71"/>
    </row>
    <row r="158" spans="1:22" s="4" customFormat="1" ht="16.5" customHeight="1">
      <c r="A158" s="20"/>
      <c r="B158" s="25"/>
      <c r="C158" s="39">
        <f>IF(DAY(GiuDom1)=1,GiuDom1+1,GiuDom1+8)</f>
        <v>45810</v>
      </c>
      <c r="D158" s="25"/>
      <c r="E158" s="39">
        <f>IF(DAY(GiuDom1)=1,GiuDom1+2,GiuDom1+9)</f>
        <v>45811</v>
      </c>
      <c r="F158" s="25"/>
      <c r="G158" s="39">
        <f>IF(DAY(GiuDom1)=1,GiuDom1+3,GiuDom1+10)</f>
        <v>45812</v>
      </c>
      <c r="H158" s="25"/>
      <c r="I158" s="31">
        <f>IF(DAY(GiuDom1)=1,GiuDom1+4,GiuDom1+11)</f>
        <v>45813</v>
      </c>
      <c r="J158" s="25"/>
      <c r="K158" s="31">
        <f>IF(DAY(GiuDom1)=1,GiuDom1+5,GiuDom1+12)</f>
        <v>45814</v>
      </c>
      <c r="L158" s="25"/>
      <c r="M158" s="31">
        <f>IF(DAY(GiuDom1)=1,GiuDom1+6,GiuDom1+13)</f>
        <v>45815</v>
      </c>
      <c r="N158" s="25"/>
      <c r="O158" s="39">
        <f>IF(DAY(GiuDom1)=1,GiuDom1+7,GiuDom1+14)</f>
        <v>45816</v>
      </c>
    </row>
    <row r="159" spans="1:22" s="53" customFormat="1" ht="25.05" customHeight="1">
      <c r="A159" s="47"/>
      <c r="B159" s="73" t="s">
        <v>173</v>
      </c>
      <c r="C159" s="67"/>
      <c r="D159" s="68" t="s">
        <v>174</v>
      </c>
      <c r="E159" s="67"/>
      <c r="F159" s="68" t="s">
        <v>175</v>
      </c>
      <c r="G159" s="67"/>
      <c r="H159" s="72" t="s">
        <v>176</v>
      </c>
      <c r="I159" s="67"/>
      <c r="J159" s="70" t="s">
        <v>177</v>
      </c>
      <c r="K159" s="67"/>
      <c r="L159" s="68" t="s">
        <v>178</v>
      </c>
      <c r="M159" s="69"/>
      <c r="N159" s="70"/>
      <c r="O159" s="71"/>
    </row>
    <row r="160" spans="1:22" s="4" customFormat="1" ht="16.5" customHeight="1">
      <c r="A160" s="20"/>
      <c r="B160" s="43"/>
      <c r="C160" s="31">
        <f>IF(DAY(GiuDom1)=1,GiuDom1+8,GiuDom1+15)</f>
        <v>45817</v>
      </c>
      <c r="D160" s="25"/>
      <c r="E160" s="39">
        <f>IF(DAY(GiuDom1)=1,GiuDom1+9,GiuDom1+16)</f>
        <v>45818</v>
      </c>
      <c r="F160" s="25"/>
      <c r="G160" s="31">
        <f>IF(DAY(GiuDom1)=1,GiuDom1+10,GiuDom1+17)</f>
        <v>45819</v>
      </c>
      <c r="H160" s="25"/>
      <c r="I160" s="31">
        <f>IF(DAY(GiuDom1)=1,GiuDom1+11,GiuDom1+18)</f>
        <v>45820</v>
      </c>
      <c r="J160" s="25"/>
      <c r="K160" s="31">
        <f>IF(DAY(GiuDom1)=1,GiuDom1+12,GiuDom1+19)</f>
        <v>45821</v>
      </c>
      <c r="L160" s="25"/>
      <c r="M160" s="31">
        <f>IF(DAY(GiuDom1)=1,GiuDom1+13,GiuDom1+20)</f>
        <v>45822</v>
      </c>
      <c r="N160" s="25"/>
      <c r="O160" s="39">
        <f>IF(DAY(GiuDom1)=1,GiuDom1+14,GiuDom1+21)</f>
        <v>45823</v>
      </c>
    </row>
    <row r="161" spans="1:16" s="53" customFormat="1" ht="25.05" customHeight="1">
      <c r="A161" s="47"/>
      <c r="B161" s="73" t="s">
        <v>179</v>
      </c>
      <c r="C161" s="67"/>
      <c r="D161" s="68" t="s">
        <v>180</v>
      </c>
      <c r="E161" s="67"/>
      <c r="F161" s="68" t="s">
        <v>181</v>
      </c>
      <c r="G161" s="67"/>
      <c r="H161" s="72" t="s">
        <v>182</v>
      </c>
      <c r="I161" s="67"/>
      <c r="J161" s="66" t="s">
        <v>183</v>
      </c>
      <c r="K161" s="67"/>
      <c r="L161" s="68" t="s">
        <v>184</v>
      </c>
      <c r="M161" s="69"/>
      <c r="N161" s="70"/>
      <c r="O161" s="71"/>
    </row>
    <row r="162" spans="1:16" s="4" customFormat="1" ht="16.5" customHeight="1">
      <c r="A162" s="20"/>
      <c r="B162" s="43"/>
      <c r="C162" s="31">
        <f>IF(DAY(GiuDom1)=1,GiuDom1+15,GiuDom1+22)</f>
        <v>45824</v>
      </c>
      <c r="D162" s="25"/>
      <c r="E162" s="31">
        <f>IF(DAY(GiuDom1)=1,GiuDom1+16,GiuDom1+23)</f>
        <v>45825</v>
      </c>
      <c r="F162" s="25"/>
      <c r="G162" s="31">
        <f>IF(DAY(GiuDom1)=1,GiuDom1+17,GiuDom1+24)</f>
        <v>45826</v>
      </c>
      <c r="H162" s="25"/>
      <c r="I162" s="31">
        <f>IF(DAY(GiuDom1)=1,GiuDom1+18,GiuDom1+25)</f>
        <v>45827</v>
      </c>
      <c r="J162" s="25"/>
      <c r="K162" s="31">
        <f>IF(DAY(GiuDom1)=1,GiuDom1+19,GiuDom1+26)</f>
        <v>45828</v>
      </c>
      <c r="L162" s="25"/>
      <c r="M162" s="31">
        <f>IF(DAY(GiuDom1)=1,GiuDom1+20,GiuDom1+27)</f>
        <v>45829</v>
      </c>
      <c r="N162" s="25"/>
      <c r="O162" s="39">
        <f>IF(DAY(GiuDom1)=1,GiuDom1+21,GiuDom1+28)</f>
        <v>45830</v>
      </c>
    </row>
    <row r="163" spans="1:16" s="53" customFormat="1" ht="25.05" customHeight="1">
      <c r="A163" s="47"/>
      <c r="B163" s="73" t="s">
        <v>185</v>
      </c>
      <c r="C163" s="67"/>
      <c r="D163" s="68" t="s">
        <v>186</v>
      </c>
      <c r="E163" s="67"/>
      <c r="F163" s="68" t="s">
        <v>187</v>
      </c>
      <c r="G163" s="67"/>
      <c r="H163" s="72" t="s">
        <v>188</v>
      </c>
      <c r="I163" s="67"/>
      <c r="J163" s="66" t="s">
        <v>189</v>
      </c>
      <c r="K163" s="67"/>
      <c r="L163" s="68" t="s">
        <v>190</v>
      </c>
      <c r="M163" s="69"/>
      <c r="N163" s="70"/>
      <c r="O163" s="69"/>
    </row>
    <row r="164" spans="1:16" s="4" customFormat="1" ht="16.5" customHeight="1">
      <c r="A164" s="20"/>
      <c r="B164" s="43"/>
      <c r="C164" s="31">
        <f>IF(DAY(GiuDom1)=1,GiuDom1+22,GiuDom1+29)</f>
        <v>45831</v>
      </c>
      <c r="D164" s="25"/>
      <c r="E164" s="31">
        <f>IF(DAY(GiuDom1)=1,GiuDom1+23,GiuDom1+30)</f>
        <v>45832</v>
      </c>
      <c r="F164" s="25"/>
      <c r="G164" s="31">
        <f>IF(DAY(GiuDom1)=1,GiuDom1+24,GiuDom1+31)</f>
        <v>45833</v>
      </c>
      <c r="H164" s="25"/>
      <c r="I164" s="31">
        <f>IF(DAY(GiuDom1)=1,GiuDom1+25,GiuDom1+32)</f>
        <v>45834</v>
      </c>
      <c r="J164" s="25"/>
      <c r="K164" s="31">
        <f>IF(DAY(GiuDom1)=1,GiuDom1+26,GiuDom1+33)</f>
        <v>45835</v>
      </c>
      <c r="L164" s="25"/>
      <c r="M164" s="31">
        <f>IF(DAY(GiuDom1)=1,GiuDom1+27,GiuDom1+34)</f>
        <v>45836</v>
      </c>
      <c r="N164" s="25"/>
      <c r="O164" s="31">
        <f>IF(DAY(GiuDom1)=1,GiuDom1+28,GiuDom1+35)</f>
        <v>45837</v>
      </c>
    </row>
    <row r="165" spans="1:16" s="53" customFormat="1" ht="31.8" customHeight="1">
      <c r="A165" s="47"/>
      <c r="B165" s="73" t="s">
        <v>191</v>
      </c>
      <c r="C165" s="67"/>
      <c r="D165" s="68" t="s">
        <v>192</v>
      </c>
      <c r="E165" s="67"/>
      <c r="F165" s="68" t="s">
        <v>193</v>
      </c>
      <c r="G165" s="67"/>
      <c r="H165" s="72" t="s">
        <v>194</v>
      </c>
      <c r="I165" s="67"/>
      <c r="J165" s="66" t="s">
        <v>195</v>
      </c>
      <c r="K165" s="67"/>
      <c r="L165" s="68" t="s">
        <v>196</v>
      </c>
      <c r="M165" s="69"/>
      <c r="N165" s="70"/>
      <c r="O165" s="69"/>
    </row>
    <row r="166" spans="1:16" s="53" customFormat="1" ht="31.8" customHeight="1">
      <c r="A166" s="47"/>
      <c r="B166" s="119"/>
      <c r="C166" s="119"/>
      <c r="D166" s="119"/>
      <c r="E166" s="119"/>
      <c r="F166" s="119"/>
      <c r="G166" s="119"/>
      <c r="H166" s="120"/>
      <c r="I166" s="119"/>
      <c r="J166" s="66"/>
      <c r="K166" s="119"/>
      <c r="L166" s="119"/>
      <c r="M166" s="120"/>
      <c r="N166" s="120"/>
      <c r="O166" s="120"/>
    </row>
    <row r="167" spans="1:16" ht="55.2" customHeight="1">
      <c r="A167" s="19" t="s">
        <v>199</v>
      </c>
      <c r="B167" s="95" t="str">
        <f>TEXT(DATE(AnnoCalendario,7,1),"mmmm")</f>
        <v>luglio</v>
      </c>
      <c r="C167" s="95"/>
      <c r="D167" s="95"/>
      <c r="E167" s="95"/>
      <c r="F167" s="95"/>
      <c r="G167" s="95"/>
      <c r="H167" s="95"/>
      <c r="I167" s="95"/>
      <c r="J167" s="92" t="s">
        <v>1</v>
      </c>
      <c r="K167" s="93"/>
      <c r="L167" s="93"/>
      <c r="M167" s="109">
        <f>AnnoCalendario</f>
        <v>2025</v>
      </c>
      <c r="N167" s="109"/>
      <c r="O167" s="109"/>
      <c r="P167" s="109"/>
    </row>
    <row r="168" spans="1:16" ht="19.05" customHeight="1">
      <c r="A168" s="20" t="s">
        <v>200</v>
      </c>
      <c r="B168" s="91"/>
      <c r="C168" s="91"/>
      <c r="D168" s="91"/>
      <c r="E168" s="91"/>
      <c r="F168" s="91"/>
      <c r="G168" s="91"/>
      <c r="H168" s="91"/>
      <c r="I168" s="91"/>
      <c r="J168" s="91"/>
      <c r="K168" s="105" t="s">
        <v>4</v>
      </c>
      <c r="L168" s="106"/>
      <c r="M168" s="106"/>
      <c r="N168" s="106"/>
    </row>
    <row r="169" spans="1:16" ht="19.05" customHeight="1">
      <c r="A169" s="20"/>
      <c r="B169" s="91"/>
      <c r="C169" s="91"/>
      <c r="D169" s="91"/>
      <c r="E169" s="91"/>
      <c r="F169" s="91"/>
      <c r="G169" s="91"/>
      <c r="H169" s="91"/>
      <c r="I169" s="91"/>
      <c r="J169" s="91"/>
      <c r="K169" s="106"/>
      <c r="L169" s="106"/>
      <c r="M169" s="106"/>
      <c r="N169" s="106"/>
    </row>
    <row r="170" spans="1:16" ht="19.05" customHeight="1">
      <c r="A170" s="20"/>
      <c r="B170" s="91"/>
      <c r="C170" s="91"/>
      <c r="D170" s="91"/>
      <c r="E170" s="91"/>
      <c r="F170" s="91"/>
      <c r="G170" s="91"/>
      <c r="H170" s="91"/>
      <c r="I170" s="91"/>
      <c r="J170" s="91"/>
      <c r="K170" s="106"/>
      <c r="L170" s="106"/>
      <c r="M170" s="106"/>
      <c r="N170" s="106"/>
    </row>
    <row r="171" spans="1:16" ht="19.05" customHeight="1">
      <c r="A171" s="20"/>
      <c r="B171" s="91"/>
      <c r="C171" s="91"/>
      <c r="D171" s="91"/>
      <c r="E171" s="91"/>
      <c r="F171" s="91"/>
      <c r="G171" s="91"/>
      <c r="H171" s="91"/>
      <c r="I171" s="91"/>
      <c r="J171" s="91"/>
      <c r="K171" s="106"/>
      <c r="L171" s="106"/>
      <c r="M171" s="106"/>
      <c r="N171" s="106"/>
    </row>
    <row r="172" spans="1:16" ht="19.05" customHeight="1">
      <c r="A172" s="20"/>
      <c r="B172" s="91"/>
      <c r="C172" s="91"/>
      <c r="D172" s="91"/>
      <c r="E172" s="91"/>
      <c r="F172" s="91"/>
      <c r="G172" s="91"/>
      <c r="H172" s="91"/>
      <c r="I172" s="91"/>
      <c r="J172" s="91"/>
      <c r="K172" s="106"/>
      <c r="L172" s="106"/>
      <c r="M172" s="106"/>
      <c r="N172" s="106"/>
    </row>
    <row r="173" spans="1:16" ht="19.05" customHeight="1">
      <c r="A173" s="20"/>
      <c r="B173" s="91"/>
      <c r="C173" s="91"/>
      <c r="D173" s="91"/>
      <c r="E173" s="91"/>
      <c r="F173" s="91"/>
      <c r="G173" s="91"/>
      <c r="H173" s="91"/>
      <c r="I173" s="91"/>
      <c r="J173" s="91"/>
      <c r="K173" s="106"/>
      <c r="L173" s="106"/>
      <c r="M173" s="106"/>
      <c r="N173" s="106"/>
    </row>
    <row r="174" spans="1:16" ht="19.05" customHeight="1">
      <c r="A174" s="20"/>
      <c r="B174" s="91"/>
      <c r="C174" s="91"/>
      <c r="D174" s="91"/>
      <c r="E174" s="91"/>
      <c r="F174" s="91"/>
      <c r="G174" s="91"/>
      <c r="H174" s="91"/>
      <c r="I174" s="91"/>
      <c r="J174" s="91"/>
      <c r="K174" s="106"/>
      <c r="L174" s="106"/>
      <c r="M174" s="106"/>
      <c r="N174" s="106"/>
    </row>
    <row r="175" spans="1:16" ht="19.05" customHeight="1">
      <c r="A175" s="20"/>
      <c r="B175" s="91"/>
      <c r="C175" s="91"/>
      <c r="D175" s="91"/>
      <c r="E175" s="91"/>
      <c r="F175" s="91"/>
      <c r="G175" s="91"/>
      <c r="H175" s="91"/>
      <c r="I175" s="91"/>
      <c r="J175" s="91"/>
      <c r="K175" s="106"/>
      <c r="L175" s="106"/>
      <c r="M175" s="106"/>
      <c r="N175" s="106"/>
    </row>
    <row r="176" spans="1:16" ht="19.05" customHeight="1">
      <c r="A176" s="20"/>
      <c r="B176" s="91"/>
      <c r="C176" s="91"/>
      <c r="D176" s="91"/>
      <c r="E176" s="91"/>
      <c r="F176" s="91"/>
      <c r="G176" s="91"/>
      <c r="H176" s="91"/>
      <c r="I176" s="91"/>
      <c r="J176" s="91"/>
      <c r="K176" s="106"/>
      <c r="L176" s="106"/>
      <c r="M176" s="106"/>
      <c r="N176" s="106"/>
    </row>
    <row r="177" spans="1:22" ht="19.05" customHeight="1">
      <c r="A177" s="20"/>
      <c r="B177" s="91"/>
      <c r="C177" s="91"/>
      <c r="D177" s="91"/>
      <c r="E177" s="91"/>
      <c r="F177" s="91"/>
      <c r="G177" s="91"/>
      <c r="H177" s="91"/>
      <c r="I177" s="91"/>
      <c r="J177" s="91"/>
      <c r="K177" s="106"/>
      <c r="L177" s="106"/>
      <c r="M177" s="106"/>
      <c r="N177" s="106"/>
    </row>
    <row r="178" spans="1:22" ht="19.05" customHeight="1">
      <c r="A178" s="20"/>
      <c r="B178" s="91"/>
      <c r="C178" s="91"/>
      <c r="D178" s="91"/>
      <c r="E178" s="91"/>
      <c r="F178" s="91"/>
      <c r="G178" s="91"/>
      <c r="H178" s="91"/>
      <c r="I178" s="91"/>
      <c r="J178" s="91"/>
      <c r="K178" s="106"/>
      <c r="L178" s="106"/>
      <c r="M178" s="106"/>
      <c r="N178" s="106"/>
    </row>
    <row r="179" spans="1:22" ht="19.05" customHeight="1">
      <c r="A179" s="20"/>
      <c r="B179" s="91"/>
      <c r="C179" s="91"/>
      <c r="D179" s="91"/>
      <c r="E179" s="91"/>
      <c r="F179" s="91"/>
      <c r="G179" s="91"/>
      <c r="H179" s="91"/>
      <c r="I179" s="91"/>
      <c r="J179" s="91"/>
      <c r="K179" s="106"/>
      <c r="L179" s="106"/>
      <c r="M179" s="106"/>
      <c r="N179" s="106"/>
    </row>
    <row r="180" spans="1:22" ht="19.05" customHeight="1">
      <c r="A180" s="20"/>
      <c r="B180" s="91"/>
      <c r="C180" s="91"/>
      <c r="D180" s="91"/>
      <c r="E180" s="91"/>
      <c r="F180" s="91"/>
      <c r="G180" s="91"/>
      <c r="H180" s="91"/>
      <c r="I180" s="91"/>
      <c r="J180" s="91"/>
      <c r="K180" s="106"/>
      <c r="L180" s="106"/>
      <c r="M180" s="106"/>
      <c r="N180" s="106"/>
    </row>
    <row r="181" spans="1:22" s="2" customFormat="1" ht="19.95" customHeight="1">
      <c r="A181" s="20" t="s">
        <v>201</v>
      </c>
      <c r="B181" s="16" t="s">
        <v>6</v>
      </c>
      <c r="C181" s="16" t="s">
        <v>7</v>
      </c>
      <c r="D181" s="16" t="s">
        <v>8</v>
      </c>
      <c r="E181" s="16" t="s">
        <v>9</v>
      </c>
      <c r="F181" s="16" t="s">
        <v>10</v>
      </c>
      <c r="G181" s="16" t="s">
        <v>11</v>
      </c>
      <c r="H181" s="16" t="s">
        <v>12</v>
      </c>
      <c r="I181" s="16" t="s">
        <v>13</v>
      </c>
      <c r="J181" s="16" t="s">
        <v>14</v>
      </c>
      <c r="K181" s="16" t="s">
        <v>15</v>
      </c>
      <c r="L181" s="16" t="s">
        <v>16</v>
      </c>
      <c r="M181" s="16" t="s">
        <v>18</v>
      </c>
      <c r="N181" s="16" t="s">
        <v>17</v>
      </c>
      <c r="O181" s="16" t="s">
        <v>50</v>
      </c>
      <c r="P181" s="1"/>
      <c r="U181" s="1"/>
      <c r="V181" s="1"/>
    </row>
    <row r="182" spans="1:22" s="3" customFormat="1" ht="16.5" customHeight="1">
      <c r="A182" s="20" t="s">
        <v>202</v>
      </c>
      <c r="B182" s="25"/>
      <c r="C182" s="31">
        <f>IF(DAY(LugDom1)=1,LugDom1-6,LugDom1+1)</f>
        <v>45838</v>
      </c>
      <c r="D182" s="25"/>
      <c r="E182" s="31">
        <f>IF(DAY(LugDom1)=1,LugDom1-5,LugDom1+2)</f>
        <v>45839</v>
      </c>
      <c r="F182" s="25"/>
      <c r="G182" s="31">
        <f>IF(DAY(LugDom1)=1,LugDom1-4,LugDom1+3)</f>
        <v>45840</v>
      </c>
      <c r="H182" s="25"/>
      <c r="I182" s="31">
        <f>IF(DAY(LugDom1)=1,LugDom1-3,LugDom1+4)</f>
        <v>45841</v>
      </c>
      <c r="J182" s="25"/>
      <c r="K182" s="31">
        <f>IF(DAY(LugDom1)=1,LugDom1-2,LugDom1+5)</f>
        <v>45842</v>
      </c>
      <c r="L182" s="25"/>
      <c r="M182" s="31">
        <f>IF(DAY(LugDom1)=1,LugDom1-1,LugDom1+6)</f>
        <v>45843</v>
      </c>
      <c r="N182" s="25"/>
      <c r="O182" s="31">
        <f>IF(DAY(LugDom1)=1,LugDom1,LugDom1+7)</f>
        <v>45844</v>
      </c>
      <c r="P182" s="4"/>
      <c r="Q182" s="4"/>
      <c r="U182" s="5"/>
      <c r="V182" s="4"/>
    </row>
    <row r="183" spans="1:22" s="53" customFormat="1" ht="25.05" customHeight="1">
      <c r="A183" s="47" t="s">
        <v>203</v>
      </c>
      <c r="B183" s="66"/>
      <c r="C183" s="67"/>
      <c r="D183" s="68" t="s">
        <v>197</v>
      </c>
      <c r="E183" s="67"/>
      <c r="F183" s="68" t="s">
        <v>198</v>
      </c>
      <c r="G183" s="67"/>
      <c r="H183" s="68" t="s">
        <v>204</v>
      </c>
      <c r="I183" s="67"/>
      <c r="J183" s="72" t="s">
        <v>205</v>
      </c>
      <c r="K183" s="67"/>
      <c r="L183" s="66" t="s">
        <v>206</v>
      </c>
      <c r="M183" s="69"/>
      <c r="N183" s="70"/>
      <c r="O183" s="69"/>
    </row>
    <row r="184" spans="1:22" s="4" customFormat="1" ht="16.5" customHeight="1">
      <c r="A184" s="20"/>
      <c r="B184" s="25"/>
      <c r="C184" s="31">
        <f>IF(DAY(LugDom1)=1,LugDom1+1,LugDom1+8)</f>
        <v>45845</v>
      </c>
      <c r="D184" s="25"/>
      <c r="E184" s="31">
        <f>IF(DAY(LugDom1)=1,LugDom1+2,LugDom1+9)</f>
        <v>45846</v>
      </c>
      <c r="F184" s="25"/>
      <c r="G184" s="31">
        <f>IF(DAY(LugDom1)=1,LugDom1+3,LugDom1+10)</f>
        <v>45847</v>
      </c>
      <c r="H184" s="25"/>
      <c r="I184" s="31">
        <f>IF(DAY(LugDom1)=1,LugDom1+4,LugDom1+11)</f>
        <v>45848</v>
      </c>
      <c r="J184" s="25"/>
      <c r="K184" s="31">
        <f>IF(DAY(LugDom1)=1,LugDom1+5,LugDom1+12)</f>
        <v>45849</v>
      </c>
      <c r="L184" s="25"/>
      <c r="M184" s="31">
        <f>IF(DAY(LugDom1)=1,LugDom1+6,LugDom1+13)</f>
        <v>45850</v>
      </c>
      <c r="N184" s="25"/>
      <c r="O184" s="31">
        <f>IF(DAY(LugDom1)=1,LugDom1+7,LugDom1+14)</f>
        <v>45851</v>
      </c>
    </row>
    <row r="185" spans="1:22" s="53" customFormat="1" ht="25.05" customHeight="1">
      <c r="A185" s="47"/>
      <c r="B185" s="73" t="s">
        <v>207</v>
      </c>
      <c r="C185" s="67"/>
      <c r="D185" s="68" t="s">
        <v>208</v>
      </c>
      <c r="E185" s="67"/>
      <c r="F185" s="68" t="s">
        <v>209</v>
      </c>
      <c r="G185" s="67"/>
      <c r="H185" s="70" t="s">
        <v>210</v>
      </c>
      <c r="I185" s="67"/>
      <c r="J185" s="73" t="s">
        <v>211</v>
      </c>
      <c r="K185" s="67"/>
      <c r="L185" s="68" t="s">
        <v>212</v>
      </c>
      <c r="M185" s="69"/>
      <c r="N185" s="70"/>
      <c r="O185" s="69"/>
    </row>
    <row r="186" spans="1:22" s="4" customFormat="1" ht="16.5" customHeight="1">
      <c r="A186" s="20"/>
      <c r="B186" s="43"/>
      <c r="C186" s="31">
        <f>IF(DAY(LugDom1)=1,LugDom1+8,LugDom1+15)</f>
        <v>45852</v>
      </c>
      <c r="D186" s="25"/>
      <c r="E186" s="31">
        <f>IF(DAY(LugDom1)=1,LugDom1+9,LugDom1+16)</f>
        <v>45853</v>
      </c>
      <c r="F186" s="25"/>
      <c r="G186" s="31">
        <f>IF(DAY(LugDom1)=1,LugDom1+10,LugDom1+17)</f>
        <v>45854</v>
      </c>
      <c r="H186" s="25"/>
      <c r="I186" s="31">
        <f>IF(DAY(LugDom1)=1,LugDom1+11,LugDom1+18)</f>
        <v>45855</v>
      </c>
      <c r="J186" s="25"/>
      <c r="K186" s="31">
        <f>IF(DAY(LugDom1)=1,LugDom1+12,LugDom1+19)</f>
        <v>45856</v>
      </c>
      <c r="L186" s="25"/>
      <c r="M186" s="31">
        <f>IF(DAY(LugDom1)=1,LugDom1+13,LugDom1+20)</f>
        <v>45857</v>
      </c>
      <c r="N186" s="25"/>
      <c r="O186" s="31">
        <f>IF(DAY(LugDom1)=1,LugDom1+14,LugDom1+21)</f>
        <v>45858</v>
      </c>
    </row>
    <row r="187" spans="1:22" s="53" customFormat="1" ht="25.05" customHeight="1">
      <c r="A187" s="47"/>
      <c r="B187" s="73" t="s">
        <v>213</v>
      </c>
      <c r="C187" s="67"/>
      <c r="D187" s="68" t="s">
        <v>214</v>
      </c>
      <c r="E187" s="67"/>
      <c r="F187" s="68" t="s">
        <v>215</v>
      </c>
      <c r="G187" s="67"/>
      <c r="H187" s="70" t="s">
        <v>216</v>
      </c>
      <c r="I187" s="67"/>
      <c r="J187" s="73" t="s">
        <v>217</v>
      </c>
      <c r="K187" s="67"/>
      <c r="L187" s="68" t="s">
        <v>218</v>
      </c>
      <c r="M187" s="69"/>
      <c r="N187" s="70"/>
      <c r="O187" s="69"/>
    </row>
    <row r="188" spans="1:22" s="4" customFormat="1" ht="16.5" customHeight="1">
      <c r="A188" s="20"/>
      <c r="B188" s="43"/>
      <c r="C188" s="31">
        <f>IF(DAY(LugDom1)=1,LugDom1+15,LugDom1+22)</f>
        <v>45859</v>
      </c>
      <c r="D188" s="25"/>
      <c r="E188" s="31">
        <f>IF(DAY(LugDom1)=1,LugDom1+16,LugDom1+23)</f>
        <v>45860</v>
      </c>
      <c r="F188" s="25"/>
      <c r="G188" s="31">
        <f>IF(DAY(LugDom1)=1,LugDom1+17,LugDom1+24)</f>
        <v>45861</v>
      </c>
      <c r="H188" s="25"/>
      <c r="I188" s="31">
        <f>IF(DAY(LugDom1)=1,LugDom1+18,LugDom1+25)</f>
        <v>45862</v>
      </c>
      <c r="J188" s="25"/>
      <c r="K188" s="31">
        <f>IF(DAY(LugDom1)=1,LugDom1+19,LugDom1+26)</f>
        <v>45863</v>
      </c>
      <c r="L188" s="25"/>
      <c r="M188" s="31">
        <f>IF(DAY(LugDom1)=1,LugDom1+20,LugDom1+27)</f>
        <v>45864</v>
      </c>
      <c r="N188" s="25"/>
      <c r="O188" s="31">
        <f>IF(DAY(LugDom1)=1,LugDom1+21,LugDom1+28)</f>
        <v>45865</v>
      </c>
    </row>
    <row r="189" spans="1:22" s="53" customFormat="1" ht="25.05" customHeight="1">
      <c r="A189" s="47"/>
      <c r="B189" s="73" t="s">
        <v>219</v>
      </c>
      <c r="C189" s="67"/>
      <c r="D189" s="68" t="s">
        <v>220</v>
      </c>
      <c r="E189" s="67"/>
      <c r="F189" s="68" t="s">
        <v>221</v>
      </c>
      <c r="G189" s="67"/>
      <c r="H189" s="70" t="s">
        <v>222</v>
      </c>
      <c r="I189" s="67"/>
      <c r="J189" s="73" t="s">
        <v>223</v>
      </c>
      <c r="K189" s="67"/>
      <c r="L189" s="68" t="s">
        <v>224</v>
      </c>
      <c r="M189" s="69"/>
      <c r="N189" s="70"/>
      <c r="O189" s="69"/>
    </row>
    <row r="190" spans="1:22" s="4" customFormat="1" ht="16.5" customHeight="1">
      <c r="A190" s="20"/>
      <c r="B190" s="43"/>
      <c r="C190" s="31">
        <f>IF(DAY(LugDom1)=1,LugDom1+22,LugDom1+29)</f>
        <v>45866</v>
      </c>
      <c r="D190" s="25"/>
      <c r="E190" s="31">
        <f>IF(DAY(LugDom1)=1,LugDom1+23,LugDom1+30)</f>
        <v>45867</v>
      </c>
      <c r="F190" s="25"/>
      <c r="G190" s="31">
        <f>IF(DAY(LugDom1)=1,LugDom1+24,LugDom1+31)</f>
        <v>45868</v>
      </c>
      <c r="H190" s="25"/>
      <c r="I190" s="31">
        <f>IF(DAY(LugDom1)=1,LugDom1+25,LugDom1+32)</f>
        <v>45869</v>
      </c>
      <c r="J190" s="25"/>
      <c r="K190" s="31">
        <f>IF(DAY(LugDom1)=1,LugDom1+26,LugDom1+33)</f>
        <v>45870</v>
      </c>
      <c r="L190" s="25"/>
      <c r="M190" s="31">
        <f>IF(DAY(LugDom1)=1,LugDom1+27,LugDom1+34)</f>
        <v>45871</v>
      </c>
      <c r="N190" s="25"/>
      <c r="O190" s="31">
        <f>IF(DAY(LugDom1)=1,LugDom1+28,LugDom1+35)</f>
        <v>45872</v>
      </c>
    </row>
    <row r="191" spans="1:22" s="53" customFormat="1" ht="25.05" customHeight="1">
      <c r="A191" s="47"/>
      <c r="B191" s="73" t="s">
        <v>225</v>
      </c>
      <c r="C191" s="67"/>
      <c r="D191" s="68" t="s">
        <v>226</v>
      </c>
      <c r="E191" s="67"/>
      <c r="F191" s="68" t="s">
        <v>227</v>
      </c>
      <c r="G191" s="67"/>
      <c r="H191" s="68" t="s">
        <v>228</v>
      </c>
      <c r="I191" s="67"/>
      <c r="J191" s="68"/>
      <c r="K191" s="67"/>
      <c r="L191" s="68"/>
      <c r="M191" s="69"/>
      <c r="N191" s="70"/>
      <c r="O191" s="69"/>
    </row>
    <row r="192" spans="1:22" s="53" customFormat="1" ht="59.4" customHeight="1">
      <c r="A192" s="47"/>
      <c r="B192" s="119"/>
      <c r="C192" s="119"/>
      <c r="D192" s="119"/>
      <c r="E192" s="119"/>
      <c r="F192" s="119"/>
      <c r="G192" s="119"/>
      <c r="H192" s="119"/>
      <c r="I192" s="119"/>
      <c r="J192" s="119"/>
      <c r="K192" s="119"/>
      <c r="L192" s="119"/>
      <c r="M192" s="120"/>
      <c r="N192" s="120"/>
      <c r="O192" s="120"/>
    </row>
    <row r="193" spans="1:22" ht="54" customHeight="1">
      <c r="A193" s="19" t="s">
        <v>230</v>
      </c>
      <c r="B193" s="95" t="str">
        <f>TEXT(DATE(AnnoCalendario,8,1),"mmmm")</f>
        <v>agosto</v>
      </c>
      <c r="C193" s="95"/>
      <c r="D193" s="95"/>
      <c r="E193" s="95"/>
      <c r="F193" s="95"/>
      <c r="G193" s="95"/>
      <c r="H193" s="95"/>
      <c r="I193" s="95"/>
      <c r="J193" s="112" t="s">
        <v>1</v>
      </c>
      <c r="K193" s="113"/>
      <c r="L193" s="113"/>
      <c r="M193" s="110">
        <f>AnnoCalendario</f>
        <v>2025</v>
      </c>
      <c r="N193" s="110"/>
      <c r="O193" s="110"/>
      <c r="P193" s="110"/>
    </row>
    <row r="194" spans="1:22" ht="19.05" customHeight="1">
      <c r="A194" s="20" t="s">
        <v>231</v>
      </c>
      <c r="B194" s="91"/>
      <c r="C194" s="91"/>
      <c r="D194" s="91"/>
      <c r="E194" s="91"/>
      <c r="F194" s="91"/>
      <c r="G194" s="91"/>
      <c r="H194" s="91"/>
      <c r="I194" s="91"/>
      <c r="J194" s="91"/>
      <c r="K194" s="105" t="s">
        <v>4</v>
      </c>
      <c r="L194" s="106"/>
      <c r="M194" s="106"/>
      <c r="N194" s="106"/>
    </row>
    <row r="195" spans="1:22" ht="19.05" customHeight="1">
      <c r="A195" s="20"/>
      <c r="B195" s="91"/>
      <c r="C195" s="91"/>
      <c r="D195" s="91"/>
      <c r="E195" s="91"/>
      <c r="F195" s="91"/>
      <c r="G195" s="91"/>
      <c r="H195" s="91"/>
      <c r="I195" s="91"/>
      <c r="J195" s="91"/>
      <c r="K195" s="106"/>
      <c r="L195" s="106"/>
      <c r="M195" s="106"/>
      <c r="N195" s="106"/>
    </row>
    <row r="196" spans="1:22" ht="19.05" customHeight="1">
      <c r="A196" s="20"/>
      <c r="B196" s="91"/>
      <c r="C196" s="91"/>
      <c r="D196" s="91"/>
      <c r="E196" s="91"/>
      <c r="F196" s="91"/>
      <c r="G196" s="91"/>
      <c r="H196" s="91"/>
      <c r="I196" s="91"/>
      <c r="J196" s="91"/>
      <c r="K196" s="106"/>
      <c r="L196" s="106"/>
      <c r="M196" s="106"/>
      <c r="N196" s="106"/>
    </row>
    <row r="197" spans="1:22" ht="19.05" customHeight="1">
      <c r="A197" s="20"/>
      <c r="B197" s="91"/>
      <c r="C197" s="91"/>
      <c r="D197" s="91"/>
      <c r="E197" s="91"/>
      <c r="F197" s="91"/>
      <c r="G197" s="91"/>
      <c r="H197" s="91"/>
      <c r="I197" s="91"/>
      <c r="J197" s="91"/>
      <c r="K197" s="106"/>
      <c r="L197" s="106"/>
      <c r="M197" s="106"/>
      <c r="N197" s="106"/>
    </row>
    <row r="198" spans="1:22" ht="19.05" customHeight="1">
      <c r="A198" s="20"/>
      <c r="B198" s="91"/>
      <c r="C198" s="91"/>
      <c r="D198" s="91"/>
      <c r="E198" s="91"/>
      <c r="F198" s="91"/>
      <c r="G198" s="91"/>
      <c r="H198" s="91"/>
      <c r="I198" s="91"/>
      <c r="J198" s="91"/>
      <c r="K198" s="106"/>
      <c r="L198" s="106"/>
      <c r="M198" s="106"/>
      <c r="N198" s="106"/>
    </row>
    <row r="199" spans="1:22" ht="19.05" customHeight="1">
      <c r="A199" s="20"/>
      <c r="B199" s="91"/>
      <c r="C199" s="91"/>
      <c r="D199" s="91"/>
      <c r="E199" s="91"/>
      <c r="F199" s="91"/>
      <c r="G199" s="91"/>
      <c r="H199" s="91"/>
      <c r="I199" s="91"/>
      <c r="J199" s="91"/>
      <c r="K199" s="106"/>
      <c r="L199" s="106"/>
      <c r="M199" s="106"/>
      <c r="N199" s="106"/>
    </row>
    <row r="200" spans="1:22" ht="19.05" customHeight="1">
      <c r="A200" s="20"/>
      <c r="B200" s="91"/>
      <c r="C200" s="91"/>
      <c r="D200" s="91"/>
      <c r="E200" s="91"/>
      <c r="F200" s="91"/>
      <c r="G200" s="91"/>
      <c r="H200" s="91"/>
      <c r="I200" s="91"/>
      <c r="J200" s="91"/>
      <c r="K200" s="106"/>
      <c r="L200" s="106"/>
      <c r="M200" s="106"/>
      <c r="N200" s="106"/>
    </row>
    <row r="201" spans="1:22" ht="19.05" customHeight="1">
      <c r="A201" s="20"/>
      <c r="B201" s="91"/>
      <c r="C201" s="91"/>
      <c r="D201" s="91"/>
      <c r="E201" s="91"/>
      <c r="F201" s="91"/>
      <c r="G201" s="91"/>
      <c r="H201" s="91"/>
      <c r="I201" s="91"/>
      <c r="J201" s="91"/>
      <c r="K201" s="106"/>
      <c r="L201" s="106"/>
      <c r="M201" s="106"/>
      <c r="N201" s="106"/>
    </row>
    <row r="202" spans="1:22" ht="19.05" customHeight="1">
      <c r="A202" s="20"/>
      <c r="B202" s="91"/>
      <c r="C202" s="91"/>
      <c r="D202" s="91"/>
      <c r="E202" s="91"/>
      <c r="F202" s="91"/>
      <c r="G202" s="91"/>
      <c r="H202" s="91"/>
      <c r="I202" s="91"/>
      <c r="J202" s="91"/>
      <c r="K202" s="106"/>
      <c r="L202" s="106"/>
      <c r="M202" s="106"/>
      <c r="N202" s="106"/>
    </row>
    <row r="203" spans="1:22" ht="19.05" customHeight="1">
      <c r="A203" s="20"/>
      <c r="B203" s="91"/>
      <c r="C203" s="91"/>
      <c r="D203" s="91"/>
      <c r="E203" s="91"/>
      <c r="F203" s="91"/>
      <c r="G203" s="91"/>
      <c r="H203" s="91"/>
      <c r="I203" s="91"/>
      <c r="J203" s="91"/>
      <c r="K203" s="106"/>
      <c r="L203" s="106"/>
      <c r="M203" s="106"/>
      <c r="N203" s="106"/>
    </row>
    <row r="204" spans="1:22" ht="19.05" customHeight="1">
      <c r="A204" s="20"/>
      <c r="B204" s="91"/>
      <c r="C204" s="91"/>
      <c r="D204" s="91"/>
      <c r="E204" s="91"/>
      <c r="F204" s="91"/>
      <c r="G204" s="91"/>
      <c r="H204" s="91"/>
      <c r="I204" s="91"/>
      <c r="J204" s="91"/>
      <c r="K204" s="106"/>
      <c r="L204" s="106"/>
      <c r="M204" s="106"/>
      <c r="N204" s="106"/>
    </row>
    <row r="205" spans="1:22" ht="19.05" customHeight="1">
      <c r="A205" s="20"/>
      <c r="B205" s="91"/>
      <c r="C205" s="91"/>
      <c r="D205" s="91"/>
      <c r="E205" s="91"/>
      <c r="F205" s="91"/>
      <c r="G205" s="91"/>
      <c r="H205" s="91"/>
      <c r="I205" s="91"/>
      <c r="J205" s="91"/>
      <c r="K205" s="106"/>
      <c r="L205" s="106"/>
      <c r="M205" s="106"/>
      <c r="N205" s="106"/>
    </row>
    <row r="206" spans="1:22" ht="19.05" customHeight="1">
      <c r="A206" s="20"/>
      <c r="B206" s="91"/>
      <c r="C206" s="91"/>
      <c r="D206" s="91"/>
      <c r="E206" s="91"/>
      <c r="F206" s="91"/>
      <c r="G206" s="91"/>
      <c r="H206" s="91"/>
      <c r="I206" s="91"/>
      <c r="J206" s="91"/>
      <c r="K206" s="106"/>
      <c r="L206" s="106"/>
      <c r="M206" s="106"/>
      <c r="N206" s="106"/>
    </row>
    <row r="207" spans="1:22" ht="19.05" customHeight="1">
      <c r="A207" s="20"/>
      <c r="B207" s="91"/>
      <c r="C207" s="91"/>
      <c r="D207" s="91"/>
      <c r="E207" s="91"/>
      <c r="F207" s="91"/>
      <c r="G207" s="91"/>
      <c r="H207" s="91"/>
      <c r="I207" s="91"/>
      <c r="J207" s="91"/>
      <c r="K207" s="106"/>
      <c r="L207" s="106"/>
      <c r="M207" s="106"/>
      <c r="N207" s="106"/>
    </row>
    <row r="208" spans="1:22" s="2" customFormat="1" ht="19.95" customHeight="1">
      <c r="A208" s="20" t="s">
        <v>232</v>
      </c>
      <c r="B208" s="16" t="s">
        <v>6</v>
      </c>
      <c r="C208" s="16" t="s">
        <v>7</v>
      </c>
      <c r="D208" s="16" t="s">
        <v>8</v>
      </c>
      <c r="E208" s="16" t="s">
        <v>9</v>
      </c>
      <c r="F208" s="16" t="s">
        <v>10</v>
      </c>
      <c r="G208" s="16" t="s">
        <v>11</v>
      </c>
      <c r="H208" s="16" t="s">
        <v>12</v>
      </c>
      <c r="I208" s="16" t="s">
        <v>13</v>
      </c>
      <c r="J208" s="16" t="s">
        <v>14</v>
      </c>
      <c r="K208" s="16" t="s">
        <v>15</v>
      </c>
      <c r="L208" s="16" t="s">
        <v>16</v>
      </c>
      <c r="M208" s="16" t="s">
        <v>50</v>
      </c>
      <c r="N208" s="16" t="s">
        <v>17</v>
      </c>
      <c r="O208" s="16" t="s">
        <v>233</v>
      </c>
      <c r="P208" s="1"/>
      <c r="U208" s="1"/>
      <c r="V208" s="1"/>
    </row>
    <row r="209" spans="1:22" s="3" customFormat="1" ht="16.5" customHeight="1">
      <c r="A209" s="20" t="s">
        <v>234</v>
      </c>
      <c r="B209" s="25"/>
      <c r="C209" s="31">
        <f>IF(DAY(AgoDom1)=1,AgoDom1-6,AgoDom1+1)</f>
        <v>45866</v>
      </c>
      <c r="D209" s="25"/>
      <c r="E209" s="31">
        <f>IF(DAY(AgoDom1)=1,AgoDom1-5,AgoDom1+2)</f>
        <v>45867</v>
      </c>
      <c r="F209" s="25"/>
      <c r="G209" s="31">
        <f>IF(DAY(AgoDom1)=1,AgoDom1-4,AgoDom1+3)</f>
        <v>45868</v>
      </c>
      <c r="H209" s="25"/>
      <c r="I209" s="31">
        <f>IF(DAY(AgoDom1)=1,AgoDom1-3,AgoDom1+4)</f>
        <v>45869</v>
      </c>
      <c r="J209" s="25"/>
      <c r="K209" s="31">
        <f>IF(DAY(AgoDom1)=1,AgoDom1-2,AgoDom1+5)</f>
        <v>45870</v>
      </c>
      <c r="L209" s="25"/>
      <c r="M209" s="31">
        <f>IF(DAY(AgoDom1)=1,AgoDom1-1,AgoDom1+6)</f>
        <v>45871</v>
      </c>
      <c r="N209" s="25"/>
      <c r="O209" s="31">
        <f>IF(DAY(AgoDom1)=1,AgoDom1,AgoDom1+7)</f>
        <v>45872</v>
      </c>
      <c r="P209" s="4"/>
      <c r="Q209" s="4"/>
      <c r="U209" s="5"/>
      <c r="V209" s="4"/>
    </row>
    <row r="210" spans="1:22" s="53" customFormat="1" ht="25.05" customHeight="1">
      <c r="A210" s="47" t="s">
        <v>235</v>
      </c>
      <c r="B210" s="72"/>
      <c r="C210" s="67"/>
      <c r="D210" s="70"/>
      <c r="E210" s="67"/>
      <c r="F210" s="68"/>
      <c r="G210" s="67"/>
      <c r="H210" s="68"/>
      <c r="I210" s="67"/>
      <c r="J210" s="72" t="s">
        <v>229</v>
      </c>
      <c r="K210" s="67"/>
      <c r="L210" s="70" t="s">
        <v>389</v>
      </c>
      <c r="M210" s="69"/>
      <c r="N210" s="70"/>
      <c r="O210" s="69"/>
    </row>
    <row r="211" spans="1:22" s="4" customFormat="1" ht="16.5" customHeight="1">
      <c r="A211" s="20"/>
      <c r="B211" s="84"/>
      <c r="C211" s="31">
        <f>IF(DAY(AgoDom1)=1,AgoDom1+1,AgoDom1+8)</f>
        <v>45873</v>
      </c>
      <c r="D211" s="25"/>
      <c r="E211" s="31">
        <f>IF(DAY(AgoDom1)=1,AgoDom1+2,AgoDom1+9)</f>
        <v>45874</v>
      </c>
      <c r="F211" s="25"/>
      <c r="G211" s="31">
        <f>IF(DAY(AgoDom1)=1,AgoDom1+3,AgoDom1+10)</f>
        <v>45875</v>
      </c>
      <c r="H211" s="25"/>
      <c r="I211" s="31">
        <f>IF(DAY(AgoDom1)=1,AgoDom1+4,AgoDom1+11)</f>
        <v>45876</v>
      </c>
      <c r="J211" s="25"/>
      <c r="K211" s="31">
        <f>IF(DAY(AgoDom1)=1,AgoDom1+5,AgoDom1+12)</f>
        <v>45877</v>
      </c>
      <c r="L211" s="25"/>
      <c r="M211" s="31">
        <f>IF(DAY(AgoDom1)=1,AgoDom1+6,AgoDom1+13)</f>
        <v>45878</v>
      </c>
      <c r="N211" s="25"/>
      <c r="O211" s="31">
        <f>IF(DAY(AgoDom1)=1,AgoDom1+7,AgoDom1+14)</f>
        <v>45879</v>
      </c>
    </row>
    <row r="212" spans="1:22" s="53" customFormat="1" ht="25.05" customHeight="1">
      <c r="A212" s="47"/>
      <c r="B212" s="85" t="s">
        <v>236</v>
      </c>
      <c r="C212" s="67"/>
      <c r="D212" s="68" t="s">
        <v>237</v>
      </c>
      <c r="E212" s="67"/>
      <c r="F212" s="68" t="s">
        <v>238</v>
      </c>
      <c r="G212" s="67"/>
      <c r="H212" s="68" t="s">
        <v>239</v>
      </c>
      <c r="I212" s="67"/>
      <c r="J212" s="72" t="s">
        <v>240</v>
      </c>
      <c r="K212" s="67"/>
      <c r="L212" s="66" t="s">
        <v>241</v>
      </c>
      <c r="M212" s="69"/>
      <c r="N212" s="70"/>
      <c r="O212" s="69"/>
    </row>
    <row r="213" spans="1:22" s="4" customFormat="1" ht="16.5" customHeight="1">
      <c r="A213" s="20"/>
      <c r="B213" s="84"/>
      <c r="C213" s="31">
        <f>IF(DAY(AgoDom1)=1,AgoDom1+8,AgoDom1+15)</f>
        <v>45880</v>
      </c>
      <c r="D213" s="25"/>
      <c r="E213" s="31">
        <f>IF(DAY(AgoDom1)=1,AgoDom1+9,AgoDom1+16)</f>
        <v>45881</v>
      </c>
      <c r="F213" s="25"/>
      <c r="G213" s="31">
        <f>IF(DAY(AgoDom1)=1,AgoDom1+10,AgoDom1+17)</f>
        <v>45882</v>
      </c>
      <c r="H213" s="25"/>
      <c r="I213" s="31">
        <f>IF(DAY(AgoDom1)=1,AgoDom1+11,AgoDom1+18)</f>
        <v>45883</v>
      </c>
      <c r="J213" s="25"/>
      <c r="K213" s="31">
        <f>IF(DAY(AgoDom1)=1,AgoDom1+12,AgoDom1+19)</f>
        <v>45884</v>
      </c>
      <c r="L213" s="25"/>
      <c r="M213" s="31">
        <f>IF(DAY(AgoDom1)=1,AgoDom1+13,AgoDom1+20)</f>
        <v>45885</v>
      </c>
      <c r="N213" s="25"/>
      <c r="O213" s="31">
        <f>IF(DAY(AgoDom1)=1,AgoDom1+14,AgoDom1+21)</f>
        <v>45886</v>
      </c>
    </row>
    <row r="214" spans="1:22" s="53" customFormat="1" ht="25.05" customHeight="1">
      <c r="A214" s="47"/>
      <c r="B214" s="85" t="s">
        <v>242</v>
      </c>
      <c r="C214" s="67"/>
      <c r="D214" s="68" t="s">
        <v>243</v>
      </c>
      <c r="E214" s="67"/>
      <c r="F214" s="68" t="s">
        <v>244</v>
      </c>
      <c r="G214" s="67"/>
      <c r="H214" s="68" t="s">
        <v>245</v>
      </c>
      <c r="I214" s="67"/>
      <c r="J214" s="72" t="s">
        <v>246</v>
      </c>
      <c r="K214" s="67"/>
      <c r="L214" s="66" t="s">
        <v>247</v>
      </c>
      <c r="M214" s="69"/>
      <c r="N214" s="70"/>
      <c r="O214" s="69"/>
    </row>
    <row r="215" spans="1:22" s="4" customFormat="1" ht="16.5" customHeight="1">
      <c r="A215" s="20"/>
      <c r="B215" s="84"/>
      <c r="C215" s="31">
        <f>IF(DAY(AgoDom1)=1,AgoDom1+15,AgoDom1+22)</f>
        <v>45887</v>
      </c>
      <c r="D215" s="25"/>
      <c r="E215" s="31">
        <f>IF(DAY(AgoDom1)=1,AgoDom1+16,AgoDom1+23)</f>
        <v>45888</v>
      </c>
      <c r="F215" s="25"/>
      <c r="G215" s="31">
        <f>IF(DAY(AgoDom1)=1,AgoDom1+17,AgoDom1+24)</f>
        <v>45889</v>
      </c>
      <c r="H215" s="25"/>
      <c r="I215" s="31">
        <f>IF(DAY(AgoDom1)=1,AgoDom1+18,AgoDom1+25)</f>
        <v>45890</v>
      </c>
      <c r="J215" s="25"/>
      <c r="K215" s="31">
        <f>IF(DAY(AgoDom1)=1,AgoDom1+19,AgoDom1+26)</f>
        <v>45891</v>
      </c>
      <c r="L215" s="25"/>
      <c r="M215" s="31">
        <f>IF(DAY(AgoDom1)=1,AgoDom1+20,AgoDom1+27)</f>
        <v>45892</v>
      </c>
      <c r="N215" s="25"/>
      <c r="O215" s="31">
        <f>IF(DAY(AgoDom1)=1,AgoDom1+21,AgoDom1+28)</f>
        <v>45893</v>
      </c>
    </row>
    <row r="216" spans="1:22" s="53" customFormat="1" ht="25.05" customHeight="1">
      <c r="A216" s="47"/>
      <c r="B216" s="85" t="s">
        <v>248</v>
      </c>
      <c r="C216" s="67"/>
      <c r="D216" s="68" t="s">
        <v>249</v>
      </c>
      <c r="E216" s="67"/>
      <c r="F216" s="68" t="s">
        <v>250</v>
      </c>
      <c r="G216" s="67"/>
      <c r="H216" s="68" t="s">
        <v>251</v>
      </c>
      <c r="I216" s="67"/>
      <c r="J216" s="72" t="s">
        <v>252</v>
      </c>
      <c r="K216" s="67"/>
      <c r="L216" s="66" t="s">
        <v>253</v>
      </c>
      <c r="M216" s="69"/>
      <c r="N216" s="70"/>
      <c r="O216" s="69"/>
    </row>
    <row r="217" spans="1:22" s="4" customFormat="1" ht="16.5" customHeight="1">
      <c r="A217" s="20"/>
      <c r="B217" s="84"/>
      <c r="C217" s="31">
        <f>IF(DAY(AgoDom1)=1,AgoDom1+22,AgoDom1+29)</f>
        <v>45894</v>
      </c>
      <c r="D217" s="25"/>
      <c r="E217" s="31">
        <f>IF(DAY(AgoDom1)=1,AgoDom1+23,AgoDom1+30)</f>
        <v>45895</v>
      </c>
      <c r="F217" s="25"/>
      <c r="G217" s="31">
        <f>IF(DAY(AgoDom1)=1,AgoDom1+24,AgoDom1+31)</f>
        <v>45896</v>
      </c>
      <c r="H217" s="25"/>
      <c r="I217" s="31">
        <f>IF(DAY(AgoDom1)=1,AgoDom1+25,AgoDom1+32)</f>
        <v>45897</v>
      </c>
      <c r="J217" s="25"/>
      <c r="K217" s="31">
        <f>IF(DAY(AgoDom1)=1,AgoDom1+26,AgoDom1+33)</f>
        <v>45898</v>
      </c>
      <c r="L217" s="25"/>
      <c r="M217" s="31">
        <f>IF(DAY(AgoDom1)=1,AgoDom1+27,AgoDom1+34)</f>
        <v>45899</v>
      </c>
      <c r="N217" s="25"/>
      <c r="O217" s="31">
        <f>IF(DAY(AgoDom1)=1,AgoDom1+28,AgoDom1+35)</f>
        <v>45900</v>
      </c>
    </row>
    <row r="218" spans="1:22" s="53" customFormat="1" ht="25.05" customHeight="1">
      <c r="A218" s="47"/>
      <c r="B218" s="85" t="s">
        <v>254</v>
      </c>
      <c r="C218" s="67"/>
      <c r="D218" s="68" t="s">
        <v>255</v>
      </c>
      <c r="E218" s="67"/>
      <c r="F218" s="68" t="s">
        <v>256</v>
      </c>
      <c r="G218" s="67"/>
      <c r="H218" s="68" t="s">
        <v>257</v>
      </c>
      <c r="I218" s="67"/>
      <c r="J218" s="72" t="s">
        <v>258</v>
      </c>
      <c r="K218" s="67"/>
      <c r="L218" s="66" t="s">
        <v>259</v>
      </c>
      <c r="M218" s="69"/>
      <c r="N218" s="70"/>
      <c r="O218" s="69"/>
    </row>
    <row r="220" spans="1:22" ht="27" customHeight="1"/>
    <row r="221" spans="1:22" ht="54" customHeight="1">
      <c r="A221" s="19" t="s">
        <v>262</v>
      </c>
      <c r="B221" s="114" t="str">
        <f>TEXT(DATE(AnnoCalendario,9,1),"mmmm")</f>
        <v>settembre</v>
      </c>
      <c r="C221" s="114"/>
      <c r="D221" s="114"/>
      <c r="E221" s="114"/>
      <c r="F221" s="114"/>
      <c r="G221" s="114"/>
      <c r="H221" s="114"/>
      <c r="I221" s="114"/>
      <c r="J221" s="92" t="s">
        <v>1</v>
      </c>
      <c r="K221" s="93"/>
      <c r="L221" s="93"/>
      <c r="M221" s="111">
        <f>AnnoCalendario</f>
        <v>2025</v>
      </c>
      <c r="N221" s="111"/>
      <c r="O221" s="111"/>
      <c r="P221" s="111"/>
    </row>
    <row r="222" spans="1:22" ht="19.05" customHeight="1">
      <c r="A222" s="20" t="s">
        <v>263</v>
      </c>
      <c r="B222" s="91"/>
      <c r="C222" s="91"/>
      <c r="D222" s="91"/>
      <c r="E222" s="91"/>
      <c r="F222" s="91"/>
      <c r="G222" s="91"/>
      <c r="H222" s="91"/>
      <c r="I222" s="91"/>
      <c r="J222" s="91"/>
      <c r="K222" s="105" t="s">
        <v>4</v>
      </c>
      <c r="L222" s="106"/>
      <c r="M222" s="106"/>
      <c r="N222" s="106"/>
    </row>
    <row r="223" spans="1:22" ht="19.05" customHeight="1">
      <c r="A223" s="20"/>
      <c r="B223" s="91"/>
      <c r="C223" s="91"/>
      <c r="D223" s="91"/>
      <c r="E223" s="91"/>
      <c r="F223" s="91"/>
      <c r="G223" s="91"/>
      <c r="H223" s="91"/>
      <c r="I223" s="91"/>
      <c r="J223" s="91"/>
      <c r="K223" s="106"/>
      <c r="L223" s="106"/>
      <c r="M223" s="106"/>
      <c r="N223" s="106"/>
    </row>
    <row r="224" spans="1:22" ht="19.05" customHeight="1">
      <c r="A224" s="20"/>
      <c r="B224" s="91"/>
      <c r="C224" s="91"/>
      <c r="D224" s="91"/>
      <c r="E224" s="91"/>
      <c r="F224" s="91"/>
      <c r="G224" s="91"/>
      <c r="H224" s="91"/>
      <c r="I224" s="91"/>
      <c r="J224" s="91"/>
      <c r="K224" s="106"/>
      <c r="L224" s="106"/>
      <c r="M224" s="106"/>
      <c r="N224" s="106"/>
    </row>
    <row r="225" spans="1:22" ht="19.05" customHeight="1">
      <c r="A225" s="20"/>
      <c r="B225" s="91"/>
      <c r="C225" s="91"/>
      <c r="D225" s="91"/>
      <c r="E225" s="91"/>
      <c r="F225" s="91"/>
      <c r="G225" s="91"/>
      <c r="H225" s="91"/>
      <c r="I225" s="91"/>
      <c r="J225" s="91"/>
      <c r="K225" s="106"/>
      <c r="L225" s="106"/>
      <c r="M225" s="106"/>
      <c r="N225" s="106"/>
    </row>
    <row r="226" spans="1:22" ht="19.05" customHeight="1">
      <c r="A226" s="20"/>
      <c r="B226" s="91"/>
      <c r="C226" s="91"/>
      <c r="D226" s="91"/>
      <c r="E226" s="91"/>
      <c r="F226" s="91"/>
      <c r="G226" s="91"/>
      <c r="H226" s="91"/>
      <c r="I226" s="91"/>
      <c r="J226" s="91"/>
      <c r="K226" s="106"/>
      <c r="L226" s="106"/>
      <c r="M226" s="106"/>
      <c r="N226" s="106"/>
    </row>
    <row r="227" spans="1:22" ht="19.05" customHeight="1">
      <c r="A227" s="20"/>
      <c r="B227" s="91"/>
      <c r="C227" s="91"/>
      <c r="D227" s="91"/>
      <c r="E227" s="91"/>
      <c r="F227" s="91"/>
      <c r="G227" s="91"/>
      <c r="H227" s="91"/>
      <c r="I227" s="91"/>
      <c r="J227" s="91"/>
      <c r="K227" s="106"/>
      <c r="L227" s="106"/>
      <c r="M227" s="106"/>
      <c r="N227" s="106"/>
    </row>
    <row r="228" spans="1:22" ht="19.05" customHeight="1">
      <c r="A228" s="20"/>
      <c r="B228" s="91"/>
      <c r="C228" s="91"/>
      <c r="D228" s="91"/>
      <c r="E228" s="91"/>
      <c r="F228" s="91"/>
      <c r="G228" s="91"/>
      <c r="H228" s="91"/>
      <c r="I228" s="91"/>
      <c r="J228" s="91"/>
      <c r="K228" s="106"/>
      <c r="L228" s="106"/>
      <c r="M228" s="106"/>
      <c r="N228" s="106"/>
    </row>
    <row r="229" spans="1:22" ht="19.05" customHeight="1">
      <c r="A229" s="20"/>
      <c r="B229" s="91"/>
      <c r="C229" s="91"/>
      <c r="D229" s="91"/>
      <c r="E229" s="91"/>
      <c r="F229" s="91"/>
      <c r="G229" s="91"/>
      <c r="H229" s="91"/>
      <c r="I229" s="91"/>
      <c r="J229" s="91"/>
      <c r="K229" s="106"/>
      <c r="L229" s="106"/>
      <c r="M229" s="106"/>
      <c r="N229" s="106"/>
    </row>
    <row r="230" spans="1:22" ht="19.05" customHeight="1">
      <c r="A230" s="20"/>
      <c r="B230" s="91"/>
      <c r="C230" s="91"/>
      <c r="D230" s="91"/>
      <c r="E230" s="91"/>
      <c r="F230" s="91"/>
      <c r="G230" s="91"/>
      <c r="H230" s="91"/>
      <c r="I230" s="91"/>
      <c r="J230" s="91"/>
      <c r="K230" s="106"/>
      <c r="L230" s="106"/>
      <c r="M230" s="106"/>
      <c r="N230" s="106"/>
    </row>
    <row r="231" spans="1:22" ht="19.05" customHeight="1">
      <c r="A231" s="20"/>
      <c r="B231" s="91"/>
      <c r="C231" s="91"/>
      <c r="D231" s="91"/>
      <c r="E231" s="91"/>
      <c r="F231" s="91"/>
      <c r="G231" s="91"/>
      <c r="H231" s="91"/>
      <c r="I231" s="91"/>
      <c r="J231" s="91"/>
      <c r="K231" s="106"/>
      <c r="L231" s="106"/>
      <c r="M231" s="106"/>
      <c r="N231" s="106"/>
    </row>
    <row r="232" spans="1:22" ht="19.05" customHeight="1">
      <c r="A232" s="20"/>
      <c r="B232" s="91"/>
      <c r="C232" s="91"/>
      <c r="D232" s="91"/>
      <c r="E232" s="91"/>
      <c r="F232" s="91"/>
      <c r="G232" s="91"/>
      <c r="H232" s="91"/>
      <c r="I232" s="91"/>
      <c r="J232" s="91"/>
      <c r="K232" s="106"/>
      <c r="L232" s="106"/>
      <c r="M232" s="106"/>
      <c r="N232" s="106"/>
    </row>
    <row r="233" spans="1:22" ht="19.05" customHeight="1">
      <c r="A233" s="20"/>
      <c r="B233" s="91"/>
      <c r="C233" s="91"/>
      <c r="D233" s="91"/>
      <c r="E233" s="91"/>
      <c r="F233" s="91"/>
      <c r="G233" s="91"/>
      <c r="H233" s="91"/>
      <c r="I233" s="91"/>
      <c r="J233" s="91"/>
      <c r="K233" s="106"/>
      <c r="L233" s="106"/>
      <c r="M233" s="106"/>
      <c r="N233" s="106"/>
    </row>
    <row r="234" spans="1:22" ht="19.05" customHeight="1">
      <c r="A234" s="20"/>
      <c r="B234" s="91"/>
      <c r="C234" s="91"/>
      <c r="D234" s="91"/>
      <c r="E234" s="91"/>
      <c r="F234" s="91"/>
      <c r="G234" s="91"/>
      <c r="H234" s="91"/>
      <c r="I234" s="91"/>
      <c r="J234" s="91"/>
      <c r="K234" s="106"/>
      <c r="L234" s="106"/>
      <c r="M234" s="106"/>
      <c r="N234" s="106"/>
    </row>
    <row r="235" spans="1:22" ht="19.05" customHeight="1">
      <c r="A235" s="20"/>
      <c r="B235" s="91"/>
      <c r="C235" s="91"/>
      <c r="D235" s="91"/>
      <c r="E235" s="91"/>
      <c r="F235" s="91"/>
      <c r="G235" s="91"/>
      <c r="H235" s="91"/>
      <c r="I235" s="91"/>
      <c r="J235" s="91"/>
      <c r="K235" s="106"/>
      <c r="L235" s="106"/>
      <c r="M235" s="106"/>
      <c r="N235" s="106"/>
    </row>
    <row r="236" spans="1:22" ht="19.05" customHeight="1">
      <c r="A236" s="20"/>
      <c r="B236" s="91"/>
      <c r="C236" s="91"/>
      <c r="D236" s="91"/>
      <c r="E236" s="91"/>
      <c r="F236" s="91"/>
      <c r="G236" s="91"/>
      <c r="H236" s="91"/>
      <c r="I236" s="91"/>
      <c r="J236" s="91"/>
      <c r="K236" s="106"/>
      <c r="L236" s="106"/>
      <c r="M236" s="106"/>
      <c r="N236" s="106"/>
    </row>
    <row r="237" spans="1:22" s="2" customFormat="1" ht="19.95" customHeight="1">
      <c r="A237" s="20" t="s">
        <v>264</v>
      </c>
      <c r="B237" s="12" t="s">
        <v>6</v>
      </c>
      <c r="C237" s="12" t="s">
        <v>7</v>
      </c>
      <c r="D237" s="12" t="s">
        <v>8</v>
      </c>
      <c r="E237" s="12" t="s">
        <v>9</v>
      </c>
      <c r="F237" s="12" t="s">
        <v>10</v>
      </c>
      <c r="G237" s="12" t="s">
        <v>11</v>
      </c>
      <c r="H237" s="12" t="s">
        <v>12</v>
      </c>
      <c r="I237" s="12" t="s">
        <v>13</v>
      </c>
      <c r="J237" s="12" t="s">
        <v>14</v>
      </c>
      <c r="K237" s="12" t="s">
        <v>15</v>
      </c>
      <c r="L237" s="12" t="s">
        <v>16</v>
      </c>
      <c r="M237" s="12" t="s">
        <v>18</v>
      </c>
      <c r="N237" s="12" t="s">
        <v>17</v>
      </c>
      <c r="O237" s="12" t="s">
        <v>265</v>
      </c>
      <c r="P237" s="1"/>
      <c r="U237" s="1"/>
      <c r="V237" s="1"/>
    </row>
    <row r="238" spans="1:22" s="3" customFormat="1" ht="16.5" customHeight="1">
      <c r="A238" s="20" t="s">
        <v>266</v>
      </c>
      <c r="B238" s="26"/>
      <c r="C238" s="32">
        <f>IF(DAY(SetDom1)=1,SetDom1-6,SetDom1+1)</f>
        <v>45901</v>
      </c>
      <c r="D238" s="26"/>
      <c r="E238" s="32">
        <f>IF(DAY(SetDom1)=1,SetDom1-5,SetDom1+2)</f>
        <v>45902</v>
      </c>
      <c r="F238" s="26"/>
      <c r="G238" s="32">
        <f>IF(DAY(SetDom1)=1,SetDom1-4,SetDom1+3)</f>
        <v>45903</v>
      </c>
      <c r="H238" s="26"/>
      <c r="I238" s="32">
        <f>IF(DAY(SetDom1)=1,SetDom1-3,SetDom1+4)</f>
        <v>45904</v>
      </c>
      <c r="J238" s="26"/>
      <c r="K238" s="32">
        <f>IF(DAY(SetDom1)=1,SetDom1-2,SetDom1+5)</f>
        <v>45905</v>
      </c>
      <c r="L238" s="26"/>
      <c r="M238" s="32">
        <f>IF(DAY(SetDom1)=1,SetDom1-1,SetDom1+6)</f>
        <v>45906</v>
      </c>
      <c r="N238" s="26"/>
      <c r="O238" s="32">
        <f>IF(DAY(SetDom1)=1,SetDom1,SetDom1+7)</f>
        <v>45907</v>
      </c>
      <c r="P238" s="4"/>
      <c r="Q238" s="4"/>
      <c r="U238" s="5"/>
      <c r="V238" s="4"/>
    </row>
    <row r="239" spans="1:22" s="53" customFormat="1" ht="25.05" customHeight="1">
      <c r="A239" s="47" t="s">
        <v>267</v>
      </c>
      <c r="B239" s="86" t="s">
        <v>260</v>
      </c>
      <c r="C239" s="75"/>
      <c r="D239" s="76" t="s">
        <v>261</v>
      </c>
      <c r="E239" s="75"/>
      <c r="F239" s="76" t="s">
        <v>268</v>
      </c>
      <c r="G239" s="75"/>
      <c r="H239" s="76" t="s">
        <v>269</v>
      </c>
      <c r="I239" s="75"/>
      <c r="J239" s="79" t="s">
        <v>270</v>
      </c>
      <c r="K239" s="75"/>
      <c r="L239" s="74" t="s">
        <v>271</v>
      </c>
      <c r="M239" s="77"/>
      <c r="N239" s="78"/>
      <c r="O239" s="77"/>
    </row>
    <row r="240" spans="1:22" s="4" customFormat="1" ht="16.5" customHeight="1">
      <c r="A240" s="20"/>
      <c r="B240" s="44"/>
      <c r="C240" s="32">
        <f>IF(DAY(SetDom1)=1,SetDom1+1,SetDom1+8)</f>
        <v>45908</v>
      </c>
      <c r="D240" s="26"/>
      <c r="E240" s="32">
        <f>IF(DAY(SetDom1)=1,SetDom1+2,SetDom1+9)</f>
        <v>45909</v>
      </c>
      <c r="F240" s="26"/>
      <c r="G240" s="32">
        <f>IF(DAY(SetDom1)=1,SetDom1+3,SetDom1+10)</f>
        <v>45910</v>
      </c>
      <c r="H240" s="26"/>
      <c r="I240" s="32">
        <f>IF(DAY(SetDom1)=1,SetDom1+4,SetDom1+11)</f>
        <v>45911</v>
      </c>
      <c r="J240" s="26"/>
      <c r="K240" s="32">
        <f>IF(DAY(SetDom1)=1,SetDom1+5,SetDom1+12)</f>
        <v>45912</v>
      </c>
      <c r="L240" s="26"/>
      <c r="M240" s="32">
        <f>IF(DAY(SetDom1)=1,SetDom1+6,SetDom1+13)</f>
        <v>45913</v>
      </c>
      <c r="N240" s="26"/>
      <c r="O240" s="32">
        <f>IF(DAY(SetDom1)=1,SetDom1+7,SetDom1+14)</f>
        <v>45914</v>
      </c>
    </row>
    <row r="241" spans="1:16" s="53" customFormat="1" ht="25.05" customHeight="1">
      <c r="A241" s="47"/>
      <c r="B241" s="86" t="s">
        <v>272</v>
      </c>
      <c r="C241" s="75"/>
      <c r="D241" s="76" t="s">
        <v>273</v>
      </c>
      <c r="E241" s="75"/>
      <c r="F241" s="76" t="s">
        <v>274</v>
      </c>
      <c r="G241" s="75"/>
      <c r="H241" s="76" t="s">
        <v>275</v>
      </c>
      <c r="I241" s="75"/>
      <c r="J241" s="79" t="s">
        <v>276</v>
      </c>
      <c r="K241" s="75"/>
      <c r="L241" s="74" t="s">
        <v>277</v>
      </c>
      <c r="M241" s="77"/>
      <c r="N241" s="78"/>
      <c r="O241" s="77"/>
    </row>
    <row r="242" spans="1:16" s="4" customFormat="1" ht="16.5" customHeight="1">
      <c r="A242" s="20"/>
      <c r="B242" s="44"/>
      <c r="C242" s="32">
        <f>IF(DAY(SetDom1)=1,SetDom1+8,SetDom1+15)</f>
        <v>45915</v>
      </c>
      <c r="D242" s="26"/>
      <c r="E242" s="32">
        <f>IF(DAY(SetDom1)=1,SetDom1+9,SetDom1+16)</f>
        <v>45916</v>
      </c>
      <c r="F242" s="26"/>
      <c r="G242" s="32">
        <f>IF(DAY(SetDom1)=1,SetDom1+10,SetDom1+17)</f>
        <v>45917</v>
      </c>
      <c r="H242" s="26"/>
      <c r="I242" s="32">
        <f>IF(DAY(SetDom1)=1,SetDom1+11,SetDom1+18)</f>
        <v>45918</v>
      </c>
      <c r="J242" s="26"/>
      <c r="K242" s="32">
        <f>IF(DAY(SetDom1)=1,SetDom1+12,SetDom1+19)</f>
        <v>45919</v>
      </c>
      <c r="L242" s="26"/>
      <c r="M242" s="32">
        <f>IF(DAY(SetDom1)=1,SetDom1+13,SetDom1+20)</f>
        <v>45920</v>
      </c>
      <c r="N242" s="26"/>
      <c r="O242" s="32">
        <f>IF(DAY(SetDom1)=1,SetDom1+14,SetDom1+21)</f>
        <v>45921</v>
      </c>
    </row>
    <row r="243" spans="1:16" s="53" customFormat="1" ht="25.05" customHeight="1">
      <c r="A243" s="47"/>
      <c r="B243" s="86" t="s">
        <v>278</v>
      </c>
      <c r="C243" s="75"/>
      <c r="D243" s="76" t="s">
        <v>279</v>
      </c>
      <c r="E243" s="75"/>
      <c r="F243" s="76" t="s">
        <v>280</v>
      </c>
      <c r="G243" s="75"/>
      <c r="H243" s="74" t="s">
        <v>281</v>
      </c>
      <c r="I243" s="75"/>
      <c r="J243" s="79" t="s">
        <v>282</v>
      </c>
      <c r="K243" s="75"/>
      <c r="L243" s="74" t="s">
        <v>283</v>
      </c>
      <c r="M243" s="77"/>
      <c r="N243" s="78"/>
      <c r="O243" s="77"/>
    </row>
    <row r="244" spans="1:16" s="4" customFormat="1" ht="16.5" customHeight="1">
      <c r="A244" s="20"/>
      <c r="B244" s="44"/>
      <c r="C244" s="32">
        <f>IF(DAY(SetDom1)=1,SetDom1+15,SetDom1+22)</f>
        <v>45922</v>
      </c>
      <c r="D244" s="26"/>
      <c r="E244" s="32">
        <f>IF(DAY(SetDom1)=1,SetDom1+16,SetDom1+23)</f>
        <v>45923</v>
      </c>
      <c r="F244" s="26"/>
      <c r="G244" s="32">
        <f>IF(DAY(SetDom1)=1,SetDom1+17,SetDom1+24)</f>
        <v>45924</v>
      </c>
      <c r="H244" s="26"/>
      <c r="I244" s="32">
        <f>IF(DAY(SetDom1)=1,SetDom1+18,SetDom1+25)</f>
        <v>45925</v>
      </c>
      <c r="J244" s="26"/>
      <c r="K244" s="32">
        <f>IF(DAY(SetDom1)=1,SetDom1+19,SetDom1+26)</f>
        <v>45926</v>
      </c>
      <c r="L244" s="26"/>
      <c r="M244" s="32">
        <f>IF(DAY(SetDom1)=1,SetDom1+20,SetDom1+27)</f>
        <v>45927</v>
      </c>
      <c r="N244" s="26"/>
      <c r="O244" s="32">
        <f>IF(DAY(SetDom1)=1,SetDom1+21,SetDom1+28)</f>
        <v>45928</v>
      </c>
    </row>
    <row r="245" spans="1:16" s="53" customFormat="1" ht="25.05" customHeight="1">
      <c r="A245" s="47"/>
      <c r="B245" s="86" t="s">
        <v>284</v>
      </c>
      <c r="C245" s="75"/>
      <c r="D245" s="76" t="s">
        <v>285</v>
      </c>
      <c r="E245" s="75"/>
      <c r="F245" s="76" t="s">
        <v>286</v>
      </c>
      <c r="G245" s="75"/>
      <c r="H245" s="76" t="s">
        <v>287</v>
      </c>
      <c r="I245" s="75"/>
      <c r="J245" s="79" t="s">
        <v>288</v>
      </c>
      <c r="K245" s="75"/>
      <c r="L245" s="74" t="s">
        <v>289</v>
      </c>
      <c r="M245" s="77"/>
      <c r="N245" s="78"/>
      <c r="O245" s="77"/>
    </row>
    <row r="246" spans="1:16" s="4" customFormat="1" ht="16.5" customHeight="1">
      <c r="A246" s="20"/>
      <c r="B246" s="44"/>
      <c r="C246" s="32">
        <f>IF(DAY(SetDom1)=1,SetDom1+22,SetDom1+29)</f>
        <v>45929</v>
      </c>
      <c r="D246" s="26"/>
      <c r="E246" s="32">
        <f>IF(DAY(SetDom1)=1,SetDom1+23,SetDom1+30)</f>
        <v>45930</v>
      </c>
      <c r="F246" s="26"/>
      <c r="G246" s="32">
        <f>IF(DAY(SetDom1)=1,SetDom1+24,SetDom1+31)</f>
        <v>45931</v>
      </c>
      <c r="H246" s="26"/>
      <c r="I246" s="32">
        <f>IF(DAY(SetDom1)=1,SetDom1+25,SetDom1+32)</f>
        <v>45932</v>
      </c>
      <c r="J246" s="26"/>
      <c r="K246" s="32">
        <f>IF(DAY(SetDom1)=1,SetDom1+26,SetDom1+33)</f>
        <v>45933</v>
      </c>
      <c r="L246" s="26"/>
      <c r="M246" s="32">
        <f>IF(DAY(SetDom1)=1,SetDom1+27,SetDom1+34)</f>
        <v>45934</v>
      </c>
      <c r="N246" s="26"/>
      <c r="O246" s="32">
        <f>IF(DAY(SetDom1)=1,SetDom1+28,SetDom1+35)</f>
        <v>45935</v>
      </c>
    </row>
    <row r="247" spans="1:16" s="53" customFormat="1" ht="25.05" customHeight="1">
      <c r="A247" s="47"/>
      <c r="B247" s="86" t="s">
        <v>290</v>
      </c>
      <c r="C247" s="75"/>
      <c r="D247" s="76" t="s">
        <v>291</v>
      </c>
      <c r="E247" s="75"/>
      <c r="F247" s="76"/>
      <c r="G247" s="75"/>
      <c r="H247" s="76"/>
      <c r="I247" s="75"/>
      <c r="J247" s="76"/>
      <c r="K247" s="75"/>
      <c r="L247" s="78"/>
      <c r="M247" s="77"/>
      <c r="N247" s="78"/>
      <c r="O247" s="77"/>
    </row>
    <row r="249" spans="1:16" ht="35.4" customHeight="1"/>
    <row r="250" spans="1:16" ht="54" customHeight="1">
      <c r="A250" s="19" t="s">
        <v>293</v>
      </c>
      <c r="B250" s="104" t="str">
        <f>TEXT(DATE(AnnoCalendario,10,1),"mmmm")</f>
        <v>ottobre</v>
      </c>
      <c r="C250" s="104"/>
      <c r="D250" s="104"/>
      <c r="E250" s="104"/>
      <c r="F250" s="104"/>
      <c r="G250" s="104"/>
      <c r="H250" s="104"/>
      <c r="I250" s="104"/>
      <c r="J250" s="92" t="s">
        <v>1</v>
      </c>
      <c r="K250" s="93"/>
      <c r="L250" s="93"/>
      <c r="M250" s="111">
        <f>AnnoCalendario</f>
        <v>2025</v>
      </c>
      <c r="N250" s="111"/>
      <c r="O250" s="111"/>
      <c r="P250" s="8"/>
    </row>
    <row r="251" spans="1:16" ht="19.05" customHeight="1">
      <c r="A251" s="20" t="s">
        <v>294</v>
      </c>
      <c r="B251" s="91"/>
      <c r="C251" s="91"/>
      <c r="D251" s="91"/>
      <c r="E251" s="91"/>
      <c r="F251" s="91"/>
      <c r="G251" s="91"/>
      <c r="H251" s="91"/>
      <c r="I251" s="91"/>
      <c r="J251" s="91"/>
      <c r="K251" s="105" t="s">
        <v>4</v>
      </c>
      <c r="L251" s="106"/>
      <c r="M251" s="106"/>
      <c r="N251" s="106"/>
    </row>
    <row r="252" spans="1:16" ht="19.05" customHeight="1">
      <c r="A252" s="20"/>
      <c r="B252" s="91"/>
      <c r="C252" s="91"/>
      <c r="D252" s="91"/>
      <c r="E252" s="91"/>
      <c r="F252" s="91"/>
      <c r="G252" s="91"/>
      <c r="H252" s="91"/>
      <c r="I252" s="91"/>
      <c r="J252" s="91"/>
      <c r="K252" s="106"/>
      <c r="L252" s="106"/>
      <c r="M252" s="106"/>
      <c r="N252" s="106"/>
    </row>
    <row r="253" spans="1:16" ht="19.05" customHeight="1">
      <c r="A253" s="20"/>
      <c r="B253" s="91"/>
      <c r="C253" s="91"/>
      <c r="D253" s="91"/>
      <c r="E253" s="91"/>
      <c r="F253" s="91"/>
      <c r="G253" s="91"/>
      <c r="H253" s="91"/>
      <c r="I253" s="91"/>
      <c r="J253" s="91"/>
      <c r="K253" s="106"/>
      <c r="L253" s="106"/>
      <c r="M253" s="106"/>
      <c r="N253" s="106"/>
    </row>
    <row r="254" spans="1:16" ht="19.05" customHeight="1">
      <c r="A254" s="20"/>
      <c r="B254" s="91"/>
      <c r="C254" s="91"/>
      <c r="D254" s="91"/>
      <c r="E254" s="91"/>
      <c r="F254" s="91"/>
      <c r="G254" s="91"/>
      <c r="H254" s="91"/>
      <c r="I254" s="91"/>
      <c r="J254" s="91"/>
      <c r="K254" s="106"/>
      <c r="L254" s="106"/>
      <c r="M254" s="106"/>
      <c r="N254" s="106"/>
    </row>
    <row r="255" spans="1:16" ht="19.05" customHeight="1">
      <c r="A255" s="20"/>
      <c r="B255" s="91"/>
      <c r="C255" s="91"/>
      <c r="D255" s="91"/>
      <c r="E255" s="91"/>
      <c r="F255" s="91"/>
      <c r="G255" s="91"/>
      <c r="H255" s="91"/>
      <c r="I255" s="91"/>
      <c r="J255" s="91"/>
      <c r="K255" s="106"/>
      <c r="L255" s="106"/>
      <c r="M255" s="106"/>
      <c r="N255" s="106"/>
    </row>
    <row r="256" spans="1:16" ht="19.05" customHeight="1">
      <c r="A256" s="20"/>
      <c r="B256" s="91"/>
      <c r="C256" s="91"/>
      <c r="D256" s="91"/>
      <c r="E256" s="91"/>
      <c r="F256" s="91"/>
      <c r="G256" s="91"/>
      <c r="H256" s="91"/>
      <c r="I256" s="91"/>
      <c r="J256" s="91"/>
      <c r="K256" s="106"/>
      <c r="L256" s="106"/>
      <c r="M256" s="106"/>
      <c r="N256" s="106"/>
    </row>
    <row r="257" spans="1:22" ht="19.05" customHeight="1">
      <c r="A257" s="20"/>
      <c r="B257" s="91"/>
      <c r="C257" s="91"/>
      <c r="D257" s="91"/>
      <c r="E257" s="91"/>
      <c r="F257" s="91"/>
      <c r="G257" s="91"/>
      <c r="H257" s="91"/>
      <c r="I257" s="91"/>
      <c r="J257" s="91"/>
      <c r="K257" s="106"/>
      <c r="L257" s="106"/>
      <c r="M257" s="106"/>
      <c r="N257" s="106"/>
    </row>
    <row r="258" spans="1:22" ht="19.05" customHeight="1">
      <c r="A258" s="20"/>
      <c r="B258" s="91"/>
      <c r="C258" s="91"/>
      <c r="D258" s="91"/>
      <c r="E258" s="91"/>
      <c r="F258" s="91"/>
      <c r="G258" s="91"/>
      <c r="H258" s="91"/>
      <c r="I258" s="91"/>
      <c r="J258" s="91"/>
      <c r="K258" s="106"/>
      <c r="L258" s="106"/>
      <c r="M258" s="106"/>
      <c r="N258" s="106"/>
    </row>
    <row r="259" spans="1:22" ht="19.05" customHeight="1">
      <c r="A259" s="20"/>
      <c r="B259" s="91"/>
      <c r="C259" s="91"/>
      <c r="D259" s="91"/>
      <c r="E259" s="91"/>
      <c r="F259" s="91"/>
      <c r="G259" s="91"/>
      <c r="H259" s="91"/>
      <c r="I259" s="91"/>
      <c r="J259" s="91"/>
      <c r="K259" s="106"/>
      <c r="L259" s="106"/>
      <c r="M259" s="106"/>
      <c r="N259" s="106"/>
    </row>
    <row r="260" spans="1:22" ht="19.05" customHeight="1">
      <c r="A260" s="20"/>
      <c r="B260" s="91"/>
      <c r="C260" s="91"/>
      <c r="D260" s="91"/>
      <c r="E260" s="91"/>
      <c r="F260" s="91"/>
      <c r="G260" s="91"/>
      <c r="H260" s="91"/>
      <c r="I260" s="91"/>
      <c r="J260" s="91"/>
      <c r="K260" s="106"/>
      <c r="L260" s="106"/>
      <c r="M260" s="106"/>
      <c r="N260" s="106"/>
    </row>
    <row r="261" spans="1:22" ht="19.05" customHeight="1">
      <c r="A261" s="20"/>
      <c r="B261" s="91"/>
      <c r="C261" s="91"/>
      <c r="D261" s="91"/>
      <c r="E261" s="91"/>
      <c r="F261" s="91"/>
      <c r="G261" s="91"/>
      <c r="H261" s="91"/>
      <c r="I261" s="91"/>
      <c r="J261" s="91"/>
      <c r="K261" s="106"/>
      <c r="L261" s="106"/>
      <c r="M261" s="106"/>
      <c r="N261" s="106"/>
    </row>
    <row r="262" spans="1:22" s="2" customFormat="1" ht="19.95" customHeight="1">
      <c r="A262" s="20" t="s">
        <v>295</v>
      </c>
      <c r="B262" s="12" t="s">
        <v>6</v>
      </c>
      <c r="C262" s="12" t="s">
        <v>7</v>
      </c>
      <c r="D262" s="12" t="s">
        <v>8</v>
      </c>
      <c r="E262" s="12" t="s">
        <v>9</v>
      </c>
      <c r="F262" s="12" t="s">
        <v>10</v>
      </c>
      <c r="G262" s="12" t="s">
        <v>11</v>
      </c>
      <c r="H262" s="12" t="s">
        <v>12</v>
      </c>
      <c r="I262" s="12" t="s">
        <v>13</v>
      </c>
      <c r="J262" s="12" t="s">
        <v>14</v>
      </c>
      <c r="K262" s="12" t="s">
        <v>15</v>
      </c>
      <c r="L262" s="12" t="s">
        <v>16</v>
      </c>
      <c r="M262" s="12" t="s">
        <v>18</v>
      </c>
      <c r="N262" s="12" t="s">
        <v>17</v>
      </c>
      <c r="O262" s="12" t="s">
        <v>50</v>
      </c>
      <c r="P262" s="1"/>
      <c r="U262" s="1"/>
      <c r="V262" s="1"/>
    </row>
    <row r="263" spans="1:22" s="3" customFormat="1" ht="16.5" customHeight="1">
      <c r="A263" s="20" t="s">
        <v>296</v>
      </c>
      <c r="B263" s="26"/>
      <c r="C263" s="32">
        <f>IF(DAY(OttDom1)=1,OttDom1-6,OttDom1+1)</f>
        <v>45929</v>
      </c>
      <c r="D263" s="26"/>
      <c r="E263" s="32">
        <f>IF(DAY(OttDom1)=1,OttDom1-5,OttDom1+2)</f>
        <v>45930</v>
      </c>
      <c r="F263" s="26"/>
      <c r="G263" s="32">
        <f>IF(DAY(OttDom1)=1,OttDom1-4,OttDom1+3)</f>
        <v>45931</v>
      </c>
      <c r="H263" s="26"/>
      <c r="I263" s="32">
        <f>IF(DAY(OttDom1)=1,OttDom1-3,OttDom1+4)</f>
        <v>45932</v>
      </c>
      <c r="J263" s="26"/>
      <c r="K263" s="32">
        <f>IF(DAY(OttDom1)=1,OttDom1-2,OttDom1+5)</f>
        <v>45933</v>
      </c>
      <c r="L263" s="26"/>
      <c r="M263" s="32">
        <f>IF(DAY(OttDom1)=1,OttDom1-1,OttDom1+6)</f>
        <v>45934</v>
      </c>
      <c r="N263" s="26"/>
      <c r="O263" s="32">
        <f>IF(DAY(OttDom1)=1,OttDom1,OttDom1+7)</f>
        <v>45935</v>
      </c>
      <c r="P263" s="4"/>
      <c r="Q263" s="4"/>
      <c r="U263" s="5"/>
      <c r="V263" s="4"/>
    </row>
    <row r="264" spans="1:22" s="53" customFormat="1" ht="25.05" customHeight="1">
      <c r="A264" s="47" t="s">
        <v>297</v>
      </c>
      <c r="B264" s="74"/>
      <c r="C264" s="75"/>
      <c r="D264" s="76"/>
      <c r="E264" s="75"/>
      <c r="F264" s="76" t="s">
        <v>292</v>
      </c>
      <c r="G264" s="75"/>
      <c r="H264" s="78" t="s">
        <v>298</v>
      </c>
      <c r="I264" s="75"/>
      <c r="J264" s="74" t="s">
        <v>299</v>
      </c>
      <c r="K264" s="75"/>
      <c r="L264" s="76" t="s">
        <v>300</v>
      </c>
      <c r="M264" s="77"/>
      <c r="N264" s="78"/>
      <c r="O264" s="77"/>
    </row>
    <row r="265" spans="1:22" s="4" customFormat="1" ht="16.5" customHeight="1">
      <c r="A265" s="20"/>
      <c r="B265" s="87"/>
      <c r="C265" s="32">
        <f>IF(DAY(OttDom1)=1,OttDom1+1,OttDom1+8)</f>
        <v>45936</v>
      </c>
      <c r="D265" s="26"/>
      <c r="E265" s="32">
        <f>IF(DAY(OttDom1)=1,OttDom1+2,OttDom1+9)</f>
        <v>45937</v>
      </c>
      <c r="F265" s="26"/>
      <c r="G265" s="32">
        <f>IF(DAY(OttDom1)=1,OttDom1+3,OttDom1+10)</f>
        <v>45938</v>
      </c>
      <c r="H265" s="26"/>
      <c r="I265" s="32">
        <f>IF(DAY(OttDom1)=1,OttDom1+4,OttDom1+11)</f>
        <v>45939</v>
      </c>
      <c r="J265" s="26"/>
      <c r="K265" s="32">
        <f>IF(DAY(OttDom1)=1,OttDom1+5,OttDom1+12)</f>
        <v>45940</v>
      </c>
      <c r="L265" s="26"/>
      <c r="M265" s="32">
        <f>IF(DAY(OttDom1)=1,OttDom1+6,OttDom1+13)</f>
        <v>45941</v>
      </c>
      <c r="N265" s="26"/>
      <c r="O265" s="32">
        <f>IF(DAY(OttDom1)=1,OttDom1+7,OttDom1+14)</f>
        <v>45942</v>
      </c>
    </row>
    <row r="266" spans="1:22" s="53" customFormat="1" ht="25.05" customHeight="1">
      <c r="A266" s="47"/>
      <c r="B266" s="88" t="s">
        <v>301</v>
      </c>
      <c r="C266" s="75"/>
      <c r="D266" s="76" t="s">
        <v>302</v>
      </c>
      <c r="E266" s="75"/>
      <c r="F266" s="76" t="s">
        <v>303</v>
      </c>
      <c r="G266" s="75"/>
      <c r="H266" s="78" t="s">
        <v>304</v>
      </c>
      <c r="I266" s="75"/>
      <c r="J266" s="74" t="s">
        <v>305</v>
      </c>
      <c r="K266" s="75"/>
      <c r="L266" s="76" t="s">
        <v>306</v>
      </c>
      <c r="M266" s="77"/>
      <c r="N266" s="78"/>
      <c r="O266" s="77"/>
    </row>
    <row r="267" spans="1:22" s="4" customFormat="1" ht="16.5" customHeight="1">
      <c r="A267" s="20"/>
      <c r="B267" s="87"/>
      <c r="C267" s="32">
        <f>IF(DAY(OttDom1)=1,OttDom1+8,OttDom1+15)</f>
        <v>45943</v>
      </c>
      <c r="D267" s="26"/>
      <c r="E267" s="32">
        <f>IF(DAY(OttDom1)=1,OttDom1+9,OttDom1+16)</f>
        <v>45944</v>
      </c>
      <c r="F267" s="26"/>
      <c r="G267" s="32">
        <f>IF(DAY(OttDom1)=1,OttDom1+10,OttDom1+17)</f>
        <v>45945</v>
      </c>
      <c r="H267" s="26"/>
      <c r="I267" s="32">
        <f>IF(DAY(OttDom1)=1,OttDom1+11,OttDom1+18)</f>
        <v>45946</v>
      </c>
      <c r="J267" s="26"/>
      <c r="K267" s="32">
        <f>IF(DAY(OttDom1)=1,OttDom1+12,OttDom1+19)</f>
        <v>45947</v>
      </c>
      <c r="L267" s="26"/>
      <c r="M267" s="32">
        <f>IF(DAY(OttDom1)=1,OttDom1+13,OttDom1+20)</f>
        <v>45948</v>
      </c>
      <c r="N267" s="26"/>
      <c r="O267" s="32">
        <f>IF(DAY(OttDom1)=1,OttDom1+14,OttDom1+21)</f>
        <v>45949</v>
      </c>
    </row>
    <row r="268" spans="1:22" s="53" customFormat="1" ht="25.05" customHeight="1">
      <c r="A268" s="47"/>
      <c r="B268" s="88" t="s">
        <v>307</v>
      </c>
      <c r="C268" s="75"/>
      <c r="D268" s="76" t="s">
        <v>308</v>
      </c>
      <c r="E268" s="75"/>
      <c r="F268" s="74" t="s">
        <v>309</v>
      </c>
      <c r="G268" s="75"/>
      <c r="H268" s="78" t="s">
        <v>310</v>
      </c>
      <c r="I268" s="75"/>
      <c r="J268" s="74" t="s">
        <v>311</v>
      </c>
      <c r="K268" s="75"/>
      <c r="L268" s="76" t="s">
        <v>312</v>
      </c>
      <c r="M268" s="77"/>
      <c r="N268" s="78"/>
      <c r="O268" s="77"/>
    </row>
    <row r="269" spans="1:22" s="4" customFormat="1" ht="16.5" customHeight="1">
      <c r="A269" s="20"/>
      <c r="B269" s="87"/>
      <c r="C269" s="32">
        <f>IF(DAY(OttDom1)=1,OttDom1+15,OttDom1+22)</f>
        <v>45950</v>
      </c>
      <c r="D269" s="26"/>
      <c r="E269" s="32">
        <f>IF(DAY(OttDom1)=1,OttDom1+16,OttDom1+23)</f>
        <v>45951</v>
      </c>
      <c r="F269" s="26"/>
      <c r="G269" s="32">
        <f>IF(DAY(OttDom1)=1,OttDom1+17,OttDom1+24)</f>
        <v>45952</v>
      </c>
      <c r="H269" s="26"/>
      <c r="I269" s="32">
        <f>IF(DAY(OttDom1)=1,OttDom1+18,OttDom1+25)</f>
        <v>45953</v>
      </c>
      <c r="J269" s="26"/>
      <c r="K269" s="32">
        <f>IF(DAY(OttDom1)=1,OttDom1+19,OttDom1+26)</f>
        <v>45954</v>
      </c>
      <c r="L269" s="26"/>
      <c r="M269" s="32">
        <f>IF(DAY(OttDom1)=1,OttDom1+20,OttDom1+27)</f>
        <v>45955</v>
      </c>
      <c r="N269" s="26"/>
      <c r="O269" s="32">
        <f>IF(DAY(OttDom1)=1,OttDom1+21,OttDom1+28)</f>
        <v>45956</v>
      </c>
    </row>
    <row r="270" spans="1:22" s="53" customFormat="1" ht="25.05" customHeight="1">
      <c r="A270" s="47"/>
      <c r="B270" s="88" t="s">
        <v>313</v>
      </c>
      <c r="C270" s="75"/>
      <c r="D270" s="76" t="s">
        <v>314</v>
      </c>
      <c r="E270" s="75"/>
      <c r="F270" s="76" t="s">
        <v>315</v>
      </c>
      <c r="G270" s="75"/>
      <c r="H270" s="78" t="s">
        <v>316</v>
      </c>
      <c r="I270" s="75"/>
      <c r="J270" s="74" t="s">
        <v>317</v>
      </c>
      <c r="K270" s="75"/>
      <c r="L270" s="76" t="s">
        <v>318</v>
      </c>
      <c r="M270" s="77"/>
      <c r="N270" s="78"/>
      <c r="O270" s="77"/>
    </row>
    <row r="271" spans="1:22" s="4" customFormat="1" ht="16.5" customHeight="1">
      <c r="A271" s="20"/>
      <c r="B271" s="87"/>
      <c r="C271" s="32">
        <f>IF(DAY(OttDom1)=1,OttDom1+22,OttDom1+29)</f>
        <v>45957</v>
      </c>
      <c r="D271" s="26"/>
      <c r="E271" s="32">
        <f>IF(DAY(OttDom1)=1,OttDom1+23,OttDom1+30)</f>
        <v>45958</v>
      </c>
      <c r="F271" s="26"/>
      <c r="G271" s="32">
        <f>IF(DAY(OttDom1)=1,OttDom1+24,OttDom1+31)</f>
        <v>45959</v>
      </c>
      <c r="H271" s="26"/>
      <c r="I271" s="32">
        <f>IF(DAY(OttDom1)=1,OttDom1+25,OttDom1+32)</f>
        <v>45960</v>
      </c>
      <c r="J271" s="26"/>
      <c r="K271" s="32">
        <f>IF(DAY(OttDom1)=1,OttDom1+26,OttDom1+33)</f>
        <v>45961</v>
      </c>
      <c r="L271" s="26"/>
      <c r="M271" s="32">
        <f>IF(DAY(OttDom1)=1,OttDom1+27,OttDom1+34)</f>
        <v>45962</v>
      </c>
      <c r="N271" s="26"/>
      <c r="O271" s="32">
        <f>IF(DAY(OttDom1)=1,OttDom1+28,OttDom1+35)</f>
        <v>45963</v>
      </c>
    </row>
    <row r="272" spans="1:22" s="53" customFormat="1" ht="25.05" customHeight="1">
      <c r="A272" s="47"/>
      <c r="B272" s="88" t="s">
        <v>319</v>
      </c>
      <c r="C272" s="75"/>
      <c r="D272" s="76" t="s">
        <v>320</v>
      </c>
      <c r="E272" s="75"/>
      <c r="F272" s="76" t="s">
        <v>321</v>
      </c>
      <c r="G272" s="75"/>
      <c r="H272" s="78" t="s">
        <v>322</v>
      </c>
      <c r="I272" s="75"/>
      <c r="J272" s="74" t="s">
        <v>323</v>
      </c>
      <c r="K272" s="75"/>
      <c r="L272" s="78"/>
      <c r="M272" s="77"/>
      <c r="N272" s="78"/>
      <c r="O272" s="77"/>
    </row>
    <row r="273" spans="1:16" s="53" customFormat="1" ht="55.8" customHeight="1">
      <c r="A273" s="47"/>
      <c r="B273" s="121"/>
      <c r="C273" s="121"/>
      <c r="D273" s="121"/>
      <c r="E273" s="121"/>
      <c r="F273" s="121"/>
      <c r="G273" s="121"/>
      <c r="H273" s="122"/>
      <c r="I273" s="121"/>
      <c r="J273" s="74"/>
      <c r="K273" s="121"/>
      <c r="L273" s="122"/>
      <c r="M273" s="122"/>
      <c r="N273" s="122"/>
      <c r="O273" s="122"/>
    </row>
    <row r="274" spans="1:16" ht="62.4" customHeight="1">
      <c r="A274" s="19" t="s">
        <v>324</v>
      </c>
      <c r="B274" s="104" t="str">
        <f>TEXT(DATE(AnnoCalendario,11,1),"mmmm")</f>
        <v>novembre</v>
      </c>
      <c r="C274" s="104"/>
      <c r="D274" s="104"/>
      <c r="E274" s="104"/>
      <c r="F274" s="104"/>
      <c r="G274" s="104"/>
      <c r="H274" s="104"/>
      <c r="I274" s="104"/>
      <c r="J274" s="92" t="s">
        <v>1</v>
      </c>
      <c r="K274" s="93"/>
      <c r="L274" s="93"/>
      <c r="M274" s="111">
        <f>AnnoCalendario</f>
        <v>2025</v>
      </c>
      <c r="N274" s="111"/>
      <c r="O274" s="111"/>
      <c r="P274" s="111"/>
    </row>
    <row r="275" spans="1:16" ht="19.05" customHeight="1">
      <c r="A275" s="20" t="s">
        <v>325</v>
      </c>
      <c r="B275" s="91"/>
      <c r="C275" s="91"/>
      <c r="D275" s="91"/>
      <c r="E275" s="91"/>
      <c r="F275" s="91"/>
      <c r="G275" s="91"/>
      <c r="H275" s="91"/>
      <c r="I275" s="91"/>
      <c r="J275" s="91"/>
      <c r="K275" s="107" t="s">
        <v>4</v>
      </c>
      <c r="L275" s="108"/>
      <c r="M275" s="108"/>
      <c r="N275" s="108"/>
    </row>
    <row r="276" spans="1:16" ht="19.05" customHeight="1">
      <c r="A276" s="20"/>
      <c r="B276" s="91"/>
      <c r="C276" s="91"/>
      <c r="D276" s="91"/>
      <c r="E276" s="91"/>
      <c r="F276" s="91"/>
      <c r="G276" s="91"/>
      <c r="H276" s="91"/>
      <c r="I276" s="91"/>
      <c r="J276" s="91"/>
      <c r="K276" s="108"/>
      <c r="L276" s="108"/>
      <c r="M276" s="108"/>
      <c r="N276" s="108"/>
    </row>
    <row r="277" spans="1:16" ht="19.05" customHeight="1">
      <c r="A277" s="20"/>
      <c r="B277" s="91"/>
      <c r="C277" s="91"/>
      <c r="D277" s="91"/>
      <c r="E277" s="91"/>
      <c r="F277" s="91"/>
      <c r="G277" s="91"/>
      <c r="H277" s="91"/>
      <c r="I277" s="91"/>
      <c r="J277" s="91"/>
      <c r="K277" s="108"/>
      <c r="L277" s="108"/>
      <c r="M277" s="108"/>
      <c r="N277" s="108"/>
    </row>
    <row r="278" spans="1:16" ht="19.05" customHeight="1">
      <c r="A278" s="20"/>
      <c r="B278" s="91"/>
      <c r="C278" s="91"/>
      <c r="D278" s="91"/>
      <c r="E278" s="91"/>
      <c r="F278" s="91"/>
      <c r="G278" s="91"/>
      <c r="H278" s="91"/>
      <c r="I278" s="91"/>
      <c r="J278" s="91"/>
      <c r="K278" s="108"/>
      <c r="L278" s="108"/>
      <c r="M278" s="108"/>
      <c r="N278" s="108"/>
    </row>
    <row r="279" spans="1:16" ht="19.05" customHeight="1">
      <c r="A279" s="20"/>
      <c r="B279" s="91"/>
      <c r="C279" s="91"/>
      <c r="D279" s="91"/>
      <c r="E279" s="91"/>
      <c r="F279" s="91"/>
      <c r="G279" s="91"/>
      <c r="H279" s="91"/>
      <c r="I279" s="91"/>
      <c r="J279" s="91"/>
      <c r="K279" s="108"/>
      <c r="L279" s="108"/>
      <c r="M279" s="108"/>
      <c r="N279" s="108"/>
    </row>
    <row r="280" spans="1:16" ht="19.05" customHeight="1">
      <c r="A280" s="20"/>
      <c r="B280" s="91"/>
      <c r="C280" s="91"/>
      <c r="D280" s="91"/>
      <c r="E280" s="91"/>
      <c r="F280" s="91"/>
      <c r="G280" s="91"/>
      <c r="H280" s="91"/>
      <c r="I280" s="91"/>
      <c r="J280" s="91"/>
      <c r="K280" s="108"/>
      <c r="L280" s="108"/>
      <c r="M280" s="108"/>
      <c r="N280" s="108"/>
    </row>
    <row r="281" spans="1:16" ht="19.05" customHeight="1">
      <c r="A281" s="20"/>
      <c r="B281" s="91"/>
      <c r="C281" s="91"/>
      <c r="D281" s="91"/>
      <c r="E281" s="91"/>
      <c r="F281" s="91"/>
      <c r="G281" s="91"/>
      <c r="H281" s="91"/>
      <c r="I281" s="91"/>
      <c r="J281" s="91"/>
      <c r="K281" s="108"/>
      <c r="L281" s="108"/>
      <c r="M281" s="108"/>
      <c r="N281" s="108"/>
    </row>
    <row r="282" spans="1:16" ht="19.05" customHeight="1">
      <c r="A282" s="20"/>
      <c r="B282" s="91"/>
      <c r="C282" s="91"/>
      <c r="D282" s="91"/>
      <c r="E282" s="91"/>
      <c r="F282" s="91"/>
      <c r="G282" s="91"/>
      <c r="H282" s="91"/>
      <c r="I282" s="91"/>
      <c r="J282" s="91"/>
      <c r="K282" s="108"/>
      <c r="L282" s="108"/>
      <c r="M282" s="108"/>
      <c r="N282" s="108"/>
    </row>
    <row r="283" spans="1:16" ht="19.05" customHeight="1">
      <c r="A283" s="20"/>
      <c r="B283" s="91"/>
      <c r="C283" s="91"/>
      <c r="D283" s="91"/>
      <c r="E283" s="91"/>
      <c r="F283" s="91"/>
      <c r="G283" s="91"/>
      <c r="H283" s="91"/>
      <c r="I283" s="91"/>
      <c r="J283" s="91"/>
      <c r="K283" s="108"/>
      <c r="L283" s="108"/>
      <c r="M283" s="108"/>
      <c r="N283" s="108"/>
    </row>
    <row r="284" spans="1:16" ht="19.05" customHeight="1">
      <c r="A284" s="20"/>
      <c r="B284" s="91"/>
      <c r="C284" s="91"/>
      <c r="D284" s="91"/>
      <c r="E284" s="91"/>
      <c r="F284" s="91"/>
      <c r="G284" s="91"/>
      <c r="H284" s="91"/>
      <c r="I284" s="91"/>
      <c r="J284" s="91"/>
      <c r="K284" s="108"/>
      <c r="L284" s="108"/>
      <c r="M284" s="108"/>
      <c r="N284" s="108"/>
    </row>
    <row r="285" spans="1:16" ht="19.05" customHeight="1">
      <c r="A285" s="20"/>
      <c r="B285" s="91"/>
      <c r="C285" s="91"/>
      <c r="D285" s="91"/>
      <c r="E285" s="91"/>
      <c r="F285" s="91"/>
      <c r="G285" s="91"/>
      <c r="H285" s="91"/>
      <c r="I285" s="91"/>
      <c r="J285" s="91"/>
      <c r="K285" s="108"/>
      <c r="L285" s="108"/>
      <c r="M285" s="108"/>
      <c r="N285" s="108"/>
    </row>
    <row r="286" spans="1:16" ht="19.05" customHeight="1">
      <c r="A286" s="20"/>
      <c r="B286" s="91"/>
      <c r="C286" s="91"/>
      <c r="D286" s="91"/>
      <c r="E286" s="91"/>
      <c r="F286" s="91"/>
      <c r="G286" s="91"/>
      <c r="H286" s="91"/>
      <c r="I286" s="91"/>
      <c r="J286" s="91"/>
      <c r="K286" s="108"/>
      <c r="L286" s="108"/>
      <c r="M286" s="108"/>
      <c r="N286" s="108"/>
    </row>
    <row r="287" spans="1:16" ht="19.05" customHeight="1">
      <c r="A287" s="20"/>
      <c r="B287" s="91"/>
      <c r="C287" s="91"/>
      <c r="D287" s="91"/>
      <c r="E287" s="91"/>
      <c r="F287" s="91"/>
      <c r="G287" s="91"/>
      <c r="H287" s="91"/>
      <c r="I287" s="91"/>
      <c r="J287" s="91"/>
      <c r="K287" s="108"/>
      <c r="L287" s="108"/>
      <c r="M287" s="108"/>
      <c r="N287" s="108"/>
    </row>
    <row r="288" spans="1:16" ht="19.05" customHeight="1">
      <c r="A288" s="20"/>
      <c r="B288" s="91"/>
      <c r="C288" s="91"/>
      <c r="D288" s="91"/>
      <c r="E288" s="91"/>
      <c r="F288" s="91"/>
      <c r="G288" s="91"/>
      <c r="H288" s="91"/>
      <c r="I288" s="91"/>
      <c r="J288" s="91"/>
      <c r="K288" s="108"/>
      <c r="L288" s="108"/>
      <c r="M288" s="108"/>
      <c r="N288" s="108"/>
    </row>
    <row r="289" spans="1:22" ht="19.05" customHeight="1">
      <c r="A289" s="20"/>
      <c r="B289" s="91"/>
      <c r="C289" s="91"/>
      <c r="D289" s="91"/>
      <c r="E289" s="91"/>
      <c r="F289" s="91"/>
      <c r="G289" s="91"/>
      <c r="H289" s="91"/>
      <c r="I289" s="91"/>
      <c r="J289" s="91"/>
      <c r="K289" s="108"/>
      <c r="L289" s="108"/>
      <c r="M289" s="108"/>
      <c r="N289" s="108"/>
    </row>
    <row r="290" spans="1:22" s="2" customFormat="1" ht="19.95" customHeight="1">
      <c r="A290" s="20" t="s">
        <v>326</v>
      </c>
      <c r="B290" s="12" t="s">
        <v>6</v>
      </c>
      <c r="C290" s="12" t="s">
        <v>7</v>
      </c>
      <c r="D290" s="12" t="s">
        <v>8</v>
      </c>
      <c r="E290" s="12" t="s">
        <v>9</v>
      </c>
      <c r="F290" s="12" t="s">
        <v>10</v>
      </c>
      <c r="G290" s="12" t="s">
        <v>11</v>
      </c>
      <c r="H290" s="12" t="s">
        <v>12</v>
      </c>
      <c r="I290" s="12" t="s">
        <v>13</v>
      </c>
      <c r="J290" s="12" t="s">
        <v>14</v>
      </c>
      <c r="K290" s="12" t="s">
        <v>15</v>
      </c>
      <c r="L290" s="12" t="s">
        <v>16</v>
      </c>
      <c r="M290" s="12" t="s">
        <v>18</v>
      </c>
      <c r="N290" s="12" t="s">
        <v>17</v>
      </c>
      <c r="O290" s="12" t="s">
        <v>265</v>
      </c>
      <c r="P290" s="1"/>
      <c r="U290" s="1"/>
      <c r="V290" s="1"/>
    </row>
    <row r="291" spans="1:22" s="3" customFormat="1" ht="16.5" customHeight="1">
      <c r="A291" s="20" t="s">
        <v>327</v>
      </c>
      <c r="B291" s="26"/>
      <c r="C291" s="32">
        <f>IF(DAY(NovDom1)=1,NovDom1-6,NovDom1+1)</f>
        <v>45957</v>
      </c>
      <c r="D291" s="26"/>
      <c r="E291" s="32">
        <f>IF(DAY(NovDom1)=1,NovDom1-5,NovDom1+2)</f>
        <v>45958</v>
      </c>
      <c r="F291" s="26"/>
      <c r="G291" s="32">
        <f>IF(DAY(NovDom1)=1,NovDom1-4,NovDom1+3)</f>
        <v>45959</v>
      </c>
      <c r="H291" s="26"/>
      <c r="I291" s="32">
        <f>IF(DAY(NovDom1)=1,NovDom1-3,NovDom1+4)</f>
        <v>45960</v>
      </c>
      <c r="J291" s="26"/>
      <c r="K291" s="32">
        <f>IF(DAY(NovDom1)=1,NovDom1-2,NovDom1+5)</f>
        <v>45961</v>
      </c>
      <c r="L291" s="26"/>
      <c r="M291" s="32">
        <f>IF(DAY(NovDom1)=1,NovDom1-1,NovDom1+6)</f>
        <v>45962</v>
      </c>
      <c r="N291" s="26"/>
      <c r="O291" s="32">
        <f>IF(DAY(NovDom1)=1,NovDom1,NovDom1+7)</f>
        <v>45963</v>
      </c>
      <c r="P291" s="4"/>
      <c r="Q291" s="4"/>
      <c r="U291" s="5"/>
      <c r="V291" s="4"/>
    </row>
    <row r="292" spans="1:22" s="53" customFormat="1" ht="25.05" customHeight="1">
      <c r="A292" s="47" t="s">
        <v>328</v>
      </c>
      <c r="B292" s="74"/>
      <c r="C292" s="75"/>
      <c r="D292" s="76"/>
      <c r="E292" s="75"/>
      <c r="F292" s="76"/>
      <c r="G292" s="75"/>
      <c r="H292" s="76"/>
      <c r="I292" s="75"/>
      <c r="J292" s="76"/>
      <c r="K292" s="75"/>
      <c r="L292" s="76" t="s">
        <v>329</v>
      </c>
      <c r="M292" s="77"/>
      <c r="N292" s="78"/>
      <c r="O292" s="77"/>
    </row>
    <row r="293" spans="1:22" s="4" customFormat="1" ht="16.5" customHeight="1">
      <c r="A293" s="20"/>
      <c r="B293" s="26"/>
      <c r="C293" s="32">
        <f>IF(DAY(NovDom1)=1,NovDom1+1,NovDom1+8)</f>
        <v>45964</v>
      </c>
      <c r="D293" s="26"/>
      <c r="E293" s="32">
        <f>IF(DAY(NovDom1)=1,NovDom1+2,NovDom1+9)</f>
        <v>45965</v>
      </c>
      <c r="F293" s="26"/>
      <c r="G293" s="32">
        <f>IF(DAY(NovDom1)=1,NovDom1+3,NovDom1+10)</f>
        <v>45966</v>
      </c>
      <c r="H293" s="26"/>
      <c r="I293" s="32">
        <f>IF(DAY(NovDom1)=1,NovDom1+4,NovDom1+11)</f>
        <v>45967</v>
      </c>
      <c r="J293" s="26"/>
      <c r="K293" s="32">
        <f>IF(DAY(NovDom1)=1,NovDom1+5,NovDom1+12)</f>
        <v>45968</v>
      </c>
      <c r="L293" s="26"/>
      <c r="M293" s="32">
        <f>IF(DAY(NovDom1)=1,NovDom1+6,NovDom1+13)</f>
        <v>45969</v>
      </c>
      <c r="N293" s="26"/>
      <c r="O293" s="32">
        <f>IF(DAY(NovDom1)=1,NovDom1+7,NovDom1+14)</f>
        <v>45970</v>
      </c>
    </row>
    <row r="294" spans="1:22" s="53" customFormat="1" ht="25.05" customHeight="1">
      <c r="A294" s="47"/>
      <c r="B294" s="86" t="s">
        <v>330</v>
      </c>
      <c r="C294" s="75"/>
      <c r="D294" s="76" t="s">
        <v>331</v>
      </c>
      <c r="E294" s="75"/>
      <c r="F294" s="76" t="s">
        <v>332</v>
      </c>
      <c r="G294" s="75"/>
      <c r="H294" s="78" t="s">
        <v>333</v>
      </c>
      <c r="I294" s="75"/>
      <c r="J294" s="74" t="s">
        <v>334</v>
      </c>
      <c r="K294" s="75"/>
      <c r="L294" s="76" t="s">
        <v>335</v>
      </c>
      <c r="M294" s="77"/>
      <c r="N294" s="78"/>
      <c r="O294" s="77"/>
    </row>
    <row r="295" spans="1:22" s="4" customFormat="1" ht="16.5" customHeight="1">
      <c r="A295" s="20"/>
      <c r="B295" s="44"/>
      <c r="C295" s="32">
        <f>IF(DAY(NovDom1)=1,NovDom1+8,NovDom1+15)</f>
        <v>45971</v>
      </c>
      <c r="D295" s="26"/>
      <c r="E295" s="32">
        <f>IF(DAY(NovDom1)=1,NovDom1+9,NovDom1+16)</f>
        <v>45972</v>
      </c>
      <c r="F295" s="26"/>
      <c r="G295" s="32">
        <f>IF(DAY(NovDom1)=1,NovDom1+10,NovDom1+17)</f>
        <v>45973</v>
      </c>
      <c r="H295" s="26"/>
      <c r="I295" s="32">
        <f>IF(DAY(NovDom1)=1,NovDom1+11,NovDom1+18)</f>
        <v>45974</v>
      </c>
      <c r="J295" s="26"/>
      <c r="K295" s="32">
        <f>IF(DAY(NovDom1)=1,NovDom1+12,NovDom1+19)</f>
        <v>45975</v>
      </c>
      <c r="L295" s="26"/>
      <c r="M295" s="32">
        <f>IF(DAY(NovDom1)=1,NovDom1+13,NovDom1+20)</f>
        <v>45976</v>
      </c>
      <c r="N295" s="26"/>
      <c r="O295" s="32">
        <f>IF(DAY(NovDom1)=1,NovDom1+14,NovDom1+21)</f>
        <v>45977</v>
      </c>
    </row>
    <row r="296" spans="1:22" s="53" customFormat="1" ht="25.05" customHeight="1">
      <c r="A296" s="47"/>
      <c r="B296" s="86" t="s">
        <v>336</v>
      </c>
      <c r="C296" s="75"/>
      <c r="D296" s="76" t="s">
        <v>337</v>
      </c>
      <c r="E296" s="75"/>
      <c r="F296" s="76" t="s">
        <v>338</v>
      </c>
      <c r="G296" s="75"/>
      <c r="H296" s="78" t="s">
        <v>339</v>
      </c>
      <c r="I296" s="75"/>
      <c r="J296" s="74" t="s">
        <v>340</v>
      </c>
      <c r="K296" s="75"/>
      <c r="L296" s="76" t="s">
        <v>341</v>
      </c>
      <c r="M296" s="77"/>
      <c r="N296" s="78"/>
      <c r="O296" s="77"/>
    </row>
    <row r="297" spans="1:22" s="4" customFormat="1" ht="16.5" customHeight="1">
      <c r="A297" s="20"/>
      <c r="B297" s="44"/>
      <c r="C297" s="32">
        <f>IF(DAY(NovDom1)=1,NovDom1+15,NovDom1+22)</f>
        <v>45978</v>
      </c>
      <c r="D297" s="26"/>
      <c r="E297" s="32">
        <f>IF(DAY(NovDom1)=1,NovDom1+16,NovDom1+23)</f>
        <v>45979</v>
      </c>
      <c r="F297" s="26"/>
      <c r="G297" s="32">
        <f>IF(DAY(NovDom1)=1,NovDom1+17,NovDom1+24)</f>
        <v>45980</v>
      </c>
      <c r="H297" s="26"/>
      <c r="I297" s="32">
        <f>IF(DAY(NovDom1)=1,NovDom1+18,NovDom1+25)</f>
        <v>45981</v>
      </c>
      <c r="J297" s="26"/>
      <c r="K297" s="32">
        <f>IF(DAY(NovDom1)=1,NovDom1+19,NovDom1+26)</f>
        <v>45982</v>
      </c>
      <c r="L297" s="26"/>
      <c r="M297" s="32">
        <f>IF(DAY(NovDom1)=1,NovDom1+20,NovDom1+27)</f>
        <v>45983</v>
      </c>
      <c r="N297" s="26"/>
      <c r="O297" s="32">
        <f>IF(DAY(NovDom1)=1,NovDom1+21,NovDom1+28)</f>
        <v>45984</v>
      </c>
    </row>
    <row r="298" spans="1:22" s="53" customFormat="1" ht="25.05" customHeight="1">
      <c r="A298" s="47"/>
      <c r="B298" s="86" t="s">
        <v>342</v>
      </c>
      <c r="C298" s="75"/>
      <c r="D298" s="76" t="s">
        <v>343</v>
      </c>
      <c r="E298" s="75"/>
      <c r="F298" s="74" t="s">
        <v>344</v>
      </c>
      <c r="G298" s="75"/>
      <c r="H298" s="78" t="s">
        <v>345</v>
      </c>
      <c r="I298" s="75"/>
      <c r="J298" s="74" t="s">
        <v>346</v>
      </c>
      <c r="K298" s="75"/>
      <c r="L298" s="76" t="s">
        <v>347</v>
      </c>
      <c r="M298" s="77"/>
      <c r="N298" s="78"/>
      <c r="O298" s="77"/>
    </row>
    <row r="299" spans="1:22" s="4" customFormat="1" ht="16.5" customHeight="1">
      <c r="A299" s="20"/>
      <c r="B299" s="44"/>
      <c r="C299" s="32">
        <f>IF(DAY(NovDom1)=1,NovDom1+22,NovDom1+29)</f>
        <v>45985</v>
      </c>
      <c r="D299" s="26"/>
      <c r="E299" s="32">
        <f>IF(DAY(NovDom1)=1,NovDom1+23,NovDom1+30)</f>
        <v>45986</v>
      </c>
      <c r="F299" s="26"/>
      <c r="G299" s="32">
        <f>IF(DAY(NovDom1)=1,NovDom1+24,NovDom1+31)</f>
        <v>45987</v>
      </c>
      <c r="H299" s="26"/>
      <c r="I299" s="32">
        <f>IF(DAY(NovDom1)=1,NovDom1+25,NovDom1+32)</f>
        <v>45988</v>
      </c>
      <c r="J299" s="26"/>
      <c r="K299" s="32">
        <f>IF(DAY(NovDom1)=1,NovDom1+26,NovDom1+33)</f>
        <v>45989</v>
      </c>
      <c r="L299" s="26"/>
      <c r="M299" s="32">
        <f>IF(DAY(NovDom1)=1,NovDom1+27,NovDom1+34)</f>
        <v>45990</v>
      </c>
      <c r="N299" s="26"/>
      <c r="O299" s="32">
        <f>IF(DAY(NovDom1)=1,NovDom1+28,NovDom1+35)</f>
        <v>45991</v>
      </c>
    </row>
    <row r="300" spans="1:22" s="53" customFormat="1" ht="25.05" customHeight="1">
      <c r="A300" s="47"/>
      <c r="B300" s="86" t="s">
        <v>348</v>
      </c>
      <c r="C300" s="75"/>
      <c r="D300" s="76" t="s">
        <v>349</v>
      </c>
      <c r="E300" s="75"/>
      <c r="F300" s="76" t="s">
        <v>350</v>
      </c>
      <c r="G300" s="75"/>
      <c r="H300" s="78" t="s">
        <v>351</v>
      </c>
      <c r="I300" s="75"/>
      <c r="J300" s="74" t="s">
        <v>352</v>
      </c>
      <c r="K300" s="75"/>
      <c r="L300" s="76" t="s">
        <v>353</v>
      </c>
      <c r="M300" s="77"/>
      <c r="N300" s="78"/>
      <c r="O300" s="77"/>
    </row>
    <row r="301" spans="1:22" s="53" customFormat="1" ht="12.6" customHeight="1">
      <c r="A301" s="47"/>
      <c r="B301" s="121"/>
      <c r="C301" s="121"/>
      <c r="D301" s="121"/>
      <c r="E301" s="121"/>
      <c r="F301" s="121"/>
      <c r="G301" s="121"/>
      <c r="H301" s="122"/>
      <c r="I301" s="121"/>
      <c r="J301" s="74"/>
      <c r="K301" s="121"/>
      <c r="L301" s="121"/>
      <c r="M301" s="122"/>
      <c r="N301" s="122"/>
      <c r="O301" s="122"/>
    </row>
    <row r="302" spans="1:22" ht="54" customHeight="1">
      <c r="A302" s="19" t="s">
        <v>355</v>
      </c>
      <c r="B302" s="98" t="str">
        <f>TEXT(DATE(AnnoCalendario,12,1),"mmmm")</f>
        <v>dicembre</v>
      </c>
      <c r="C302" s="98"/>
      <c r="D302" s="98"/>
      <c r="E302" s="98"/>
      <c r="F302" s="98"/>
      <c r="G302" s="98"/>
      <c r="H302" s="98"/>
      <c r="I302" s="98"/>
      <c r="J302" s="92" t="s">
        <v>1</v>
      </c>
      <c r="K302" s="93"/>
      <c r="L302" s="93"/>
      <c r="M302" s="118">
        <f>AnnoCalendario</f>
        <v>2025</v>
      </c>
      <c r="N302" s="118"/>
      <c r="O302" s="118"/>
      <c r="P302" s="118"/>
    </row>
    <row r="303" spans="1:22" ht="18.75" customHeight="1">
      <c r="A303" s="20" t="s">
        <v>356</v>
      </c>
      <c r="B303" s="91"/>
      <c r="C303" s="91"/>
      <c r="D303" s="91"/>
      <c r="E303" s="91"/>
      <c r="F303" s="91"/>
      <c r="G303" s="91"/>
      <c r="H303" s="91"/>
      <c r="I303" s="91"/>
      <c r="J303" s="107" t="s">
        <v>4</v>
      </c>
      <c r="K303" s="108"/>
      <c r="L303" s="108"/>
      <c r="M303" s="108"/>
      <c r="N303" s="108"/>
      <c r="O303" s="36"/>
    </row>
    <row r="304" spans="1:22" ht="18.75" customHeight="1">
      <c r="A304" s="20"/>
      <c r="B304" s="91"/>
      <c r="C304" s="91"/>
      <c r="D304" s="91"/>
      <c r="E304" s="91"/>
      <c r="F304" s="91"/>
      <c r="G304" s="91"/>
      <c r="H304" s="91"/>
      <c r="I304" s="91"/>
      <c r="J304" s="108"/>
      <c r="K304" s="108"/>
      <c r="L304" s="108"/>
      <c r="M304" s="108"/>
      <c r="N304" s="108"/>
      <c r="O304" s="36"/>
    </row>
    <row r="305" spans="1:22" ht="18.75" customHeight="1">
      <c r="A305" s="20"/>
      <c r="B305" s="91"/>
      <c r="C305" s="91"/>
      <c r="D305" s="91"/>
      <c r="E305" s="91"/>
      <c r="F305" s="91"/>
      <c r="G305" s="91"/>
      <c r="H305" s="91"/>
      <c r="I305" s="91"/>
      <c r="J305" s="108"/>
      <c r="K305" s="108"/>
      <c r="L305" s="108"/>
      <c r="M305" s="108"/>
      <c r="N305" s="108"/>
      <c r="O305" s="36"/>
    </row>
    <row r="306" spans="1:22" ht="18.75" customHeight="1">
      <c r="A306" s="20"/>
      <c r="B306" s="91"/>
      <c r="C306" s="91"/>
      <c r="D306" s="91"/>
      <c r="E306" s="91"/>
      <c r="F306" s="91"/>
      <c r="G306" s="91"/>
      <c r="H306" s="91"/>
      <c r="I306" s="91"/>
      <c r="J306" s="108"/>
      <c r="K306" s="108"/>
      <c r="L306" s="108"/>
      <c r="M306" s="108"/>
      <c r="N306" s="108"/>
      <c r="O306" s="36"/>
    </row>
    <row r="307" spans="1:22" ht="18.75" customHeight="1">
      <c r="A307" s="20"/>
      <c r="B307" s="91"/>
      <c r="C307" s="91"/>
      <c r="D307" s="91"/>
      <c r="E307" s="91"/>
      <c r="F307" s="91"/>
      <c r="G307" s="91"/>
      <c r="H307" s="91"/>
      <c r="I307" s="91"/>
      <c r="J307" s="108"/>
      <c r="K307" s="108"/>
      <c r="L307" s="108"/>
      <c r="M307" s="108"/>
      <c r="N307" s="108"/>
      <c r="O307" s="36"/>
    </row>
    <row r="308" spans="1:22" ht="18.75" customHeight="1">
      <c r="A308" s="20"/>
      <c r="B308" s="91"/>
      <c r="C308" s="91"/>
      <c r="D308" s="91"/>
      <c r="E308" s="91"/>
      <c r="F308" s="91"/>
      <c r="G308" s="91"/>
      <c r="H308" s="91"/>
      <c r="I308" s="91"/>
      <c r="J308" s="108"/>
      <c r="K308" s="108"/>
      <c r="L308" s="108"/>
      <c r="M308" s="108"/>
      <c r="N308" s="108"/>
      <c r="O308" s="36"/>
    </row>
    <row r="309" spans="1:22" ht="18.75" customHeight="1">
      <c r="A309" s="20"/>
      <c r="B309" s="91"/>
      <c r="C309" s="91"/>
      <c r="D309" s="91"/>
      <c r="E309" s="91"/>
      <c r="F309" s="91"/>
      <c r="G309" s="91"/>
      <c r="H309" s="91"/>
      <c r="I309" s="91"/>
      <c r="J309" s="108"/>
      <c r="K309" s="108"/>
      <c r="L309" s="108"/>
      <c r="M309" s="108"/>
      <c r="N309" s="108"/>
      <c r="O309" s="36"/>
    </row>
    <row r="310" spans="1:22" ht="18.75" customHeight="1">
      <c r="A310" s="20"/>
      <c r="B310" s="91"/>
      <c r="C310" s="91"/>
      <c r="D310" s="91"/>
      <c r="E310" s="91"/>
      <c r="F310" s="91"/>
      <c r="G310" s="91"/>
      <c r="H310" s="91"/>
      <c r="I310" s="91"/>
      <c r="J310" s="108"/>
      <c r="K310" s="108"/>
      <c r="L310" s="108"/>
      <c r="M310" s="108"/>
      <c r="N310" s="108"/>
      <c r="O310" s="36"/>
    </row>
    <row r="311" spans="1:22" ht="18.75" customHeight="1">
      <c r="A311" s="20"/>
      <c r="B311" s="91"/>
      <c r="C311" s="91"/>
      <c r="D311" s="91"/>
      <c r="E311" s="91"/>
      <c r="F311" s="91"/>
      <c r="G311" s="91"/>
      <c r="H311" s="91"/>
      <c r="I311" s="91"/>
      <c r="J311" s="108"/>
      <c r="K311" s="108"/>
      <c r="L311" s="108"/>
      <c r="M311" s="108"/>
      <c r="N311" s="108"/>
      <c r="O311" s="36"/>
    </row>
    <row r="312" spans="1:22" ht="18.75" customHeight="1">
      <c r="A312" s="20"/>
      <c r="B312" s="91"/>
      <c r="C312" s="91"/>
      <c r="D312" s="91"/>
      <c r="E312" s="91"/>
      <c r="F312" s="91"/>
      <c r="G312" s="91"/>
      <c r="H312" s="91"/>
      <c r="I312" s="91"/>
      <c r="J312" s="108"/>
      <c r="K312" s="108"/>
      <c r="L312" s="108"/>
      <c r="M312" s="108"/>
      <c r="N312" s="108"/>
      <c r="O312" s="36"/>
    </row>
    <row r="313" spans="1:22" ht="18.75" customHeight="1">
      <c r="A313" s="20"/>
      <c r="B313" s="91"/>
      <c r="C313" s="91"/>
      <c r="D313" s="91"/>
      <c r="E313" s="91"/>
      <c r="F313" s="91"/>
      <c r="G313" s="91"/>
      <c r="H313" s="91"/>
      <c r="I313" s="91"/>
      <c r="J313" s="108"/>
      <c r="K313" s="108"/>
      <c r="L313" s="108"/>
      <c r="M313" s="108"/>
      <c r="N313" s="108"/>
      <c r="O313" s="36"/>
    </row>
    <row r="314" spans="1:22" ht="18.75" customHeight="1">
      <c r="A314" s="20"/>
      <c r="B314" s="91"/>
      <c r="C314" s="91"/>
      <c r="D314" s="91"/>
      <c r="E314" s="91"/>
      <c r="F314" s="91"/>
      <c r="G314" s="91"/>
      <c r="H314" s="91"/>
      <c r="I314" s="91"/>
      <c r="J314" s="108"/>
      <c r="K314" s="108"/>
      <c r="L314" s="108"/>
      <c r="M314" s="108"/>
      <c r="N314" s="108"/>
      <c r="O314" s="36"/>
    </row>
    <row r="315" spans="1:22" ht="18.75" customHeight="1">
      <c r="A315" s="20"/>
      <c r="B315" s="91"/>
      <c r="C315" s="91"/>
      <c r="D315" s="91"/>
      <c r="E315" s="91"/>
      <c r="F315" s="91"/>
      <c r="G315" s="91"/>
      <c r="H315" s="91"/>
      <c r="I315" s="91"/>
      <c r="J315" s="108"/>
      <c r="K315" s="108"/>
      <c r="L315" s="108"/>
      <c r="M315" s="108"/>
      <c r="N315" s="108"/>
      <c r="O315" s="36"/>
    </row>
    <row r="316" spans="1:22" ht="18.75" customHeight="1">
      <c r="A316" s="20"/>
      <c r="B316" s="91"/>
      <c r="C316" s="91"/>
      <c r="D316" s="91"/>
      <c r="E316" s="91"/>
      <c r="F316" s="91"/>
      <c r="G316" s="91"/>
      <c r="H316" s="91"/>
      <c r="I316" s="91"/>
      <c r="J316" s="108"/>
      <c r="K316" s="108"/>
      <c r="L316" s="108"/>
      <c r="M316" s="108"/>
      <c r="N316" s="108"/>
      <c r="O316" s="36"/>
    </row>
    <row r="317" spans="1:22" ht="18.75" customHeight="1">
      <c r="A317" s="20"/>
      <c r="B317" s="91"/>
      <c r="C317" s="91"/>
      <c r="D317" s="91"/>
      <c r="E317" s="91"/>
      <c r="F317" s="91"/>
      <c r="G317" s="91"/>
      <c r="H317" s="91"/>
      <c r="I317" s="91"/>
      <c r="J317" s="108"/>
      <c r="K317" s="108"/>
      <c r="L317" s="108"/>
      <c r="M317" s="108"/>
      <c r="N317" s="108"/>
      <c r="O317" s="36"/>
    </row>
    <row r="318" spans="1:22" s="2" customFormat="1" ht="19.95" customHeight="1">
      <c r="A318" s="20" t="s">
        <v>357</v>
      </c>
      <c r="B318" s="13" t="s">
        <v>6</v>
      </c>
      <c r="C318" s="13" t="s">
        <v>7</v>
      </c>
      <c r="D318" s="14" t="s">
        <v>8</v>
      </c>
      <c r="E318" s="14" t="s">
        <v>9</v>
      </c>
      <c r="F318" s="14" t="s">
        <v>10</v>
      </c>
      <c r="G318" s="14" t="s">
        <v>11</v>
      </c>
      <c r="H318" s="14" t="s">
        <v>12</v>
      </c>
      <c r="I318" s="14" t="s">
        <v>13</v>
      </c>
      <c r="J318" s="14" t="s">
        <v>14</v>
      </c>
      <c r="K318" s="14" t="s">
        <v>15</v>
      </c>
      <c r="L318" s="14" t="s">
        <v>16</v>
      </c>
      <c r="M318" s="14" t="s">
        <v>18</v>
      </c>
      <c r="N318" s="14" t="s">
        <v>17</v>
      </c>
      <c r="O318" s="35" t="s">
        <v>50</v>
      </c>
      <c r="P318" s="1"/>
      <c r="U318" s="1"/>
      <c r="V318" s="1"/>
    </row>
    <row r="319" spans="1:22" s="3" customFormat="1" ht="16.5" customHeight="1">
      <c r="A319" s="20" t="s">
        <v>358</v>
      </c>
      <c r="B319" s="22"/>
      <c r="C319" s="33">
        <f>IF(DAY(DicDom1)=1,DicDom1-6,DicDom1+1)</f>
        <v>45992</v>
      </c>
      <c r="D319" s="21"/>
      <c r="E319" s="33">
        <f>IF(DAY(DicDom1)=1,DicDom1-5,DicDom1+2)</f>
        <v>45993</v>
      </c>
      <c r="F319" s="21"/>
      <c r="G319" s="33">
        <f>IF(DAY(DicDom1)=1,DicDom1-4,DicDom1+3)</f>
        <v>45994</v>
      </c>
      <c r="H319" s="21"/>
      <c r="I319" s="33">
        <f>IF(DAY(DicDom1)=1,DicDom1-3,DicDom1+4)</f>
        <v>45995</v>
      </c>
      <c r="J319" s="21"/>
      <c r="K319" s="33">
        <f>IF(DAY(DicDom1)=1,DicDom1-2,DicDom1+5)</f>
        <v>45996</v>
      </c>
      <c r="L319" s="21"/>
      <c r="M319" s="33">
        <f>IF(DAY(DicDom1)=1,DicDom1-1,DicDom1+6)</f>
        <v>45997</v>
      </c>
      <c r="N319" s="21"/>
      <c r="O319" s="33">
        <f>IF(DAY(DicDom1)=1,DicDom1,DicDom1+7)</f>
        <v>45998</v>
      </c>
      <c r="P319" s="4"/>
      <c r="Q319" s="4"/>
      <c r="U319" s="5"/>
      <c r="V319" s="4"/>
    </row>
    <row r="320" spans="1:22" s="53" customFormat="1" ht="25.05" customHeight="1">
      <c r="A320" s="47" t="s">
        <v>359</v>
      </c>
      <c r="B320" s="48" t="s">
        <v>354</v>
      </c>
      <c r="C320" s="80"/>
      <c r="D320" s="48" t="s">
        <v>360</v>
      </c>
      <c r="E320" s="80"/>
      <c r="F320" s="50" t="s">
        <v>361</v>
      </c>
      <c r="G320" s="80"/>
      <c r="H320" s="51" t="s">
        <v>362</v>
      </c>
      <c r="I320" s="80"/>
      <c r="J320" s="48" t="s">
        <v>363</v>
      </c>
      <c r="K320" s="80"/>
      <c r="L320" s="50" t="s">
        <v>364</v>
      </c>
      <c r="M320" s="81"/>
      <c r="N320" s="51"/>
      <c r="O320" s="81"/>
    </row>
    <row r="321" spans="1:15" s="4" customFormat="1" ht="16.5" customHeight="1">
      <c r="A321" s="20"/>
      <c r="B321" s="89"/>
      <c r="C321" s="33">
        <f>IF(DAY(DicDom1)=1,DicDom1+1,DicDom1+8)</f>
        <v>45999</v>
      </c>
      <c r="D321" s="21"/>
      <c r="E321" s="33">
        <f>IF(DAY(DicDom1)=1,DicDom1+2,DicDom1+9)</f>
        <v>46000</v>
      </c>
      <c r="F321" s="21"/>
      <c r="G321" s="33">
        <f>IF(DAY(DicDom1)=1,DicDom1+3,DicDom1+10)</f>
        <v>46001</v>
      </c>
      <c r="H321" s="21"/>
      <c r="I321" s="33">
        <f>IF(DAY(DicDom1)=1,DicDom1+4,DicDom1+11)</f>
        <v>46002</v>
      </c>
      <c r="J321" s="21"/>
      <c r="K321" s="33">
        <f>IF(DAY(DicDom1)=1,DicDom1+5,DicDom1+12)</f>
        <v>46003</v>
      </c>
      <c r="L321" s="21"/>
      <c r="M321" s="33">
        <f>IF(DAY(DicDom1)=1,DicDom1+6,DicDom1+13)</f>
        <v>46004</v>
      </c>
      <c r="N321" s="21"/>
      <c r="O321" s="34">
        <f>IF(DAY(DicDom1)=1,DicDom1+7,DicDom1+14)</f>
        <v>46005</v>
      </c>
    </row>
    <row r="322" spans="1:15" s="53" customFormat="1" ht="25.05" customHeight="1">
      <c r="A322" s="47"/>
      <c r="B322" s="90" t="s">
        <v>365</v>
      </c>
      <c r="C322" s="80"/>
      <c r="D322" s="50" t="s">
        <v>366</v>
      </c>
      <c r="E322" s="80"/>
      <c r="F322" s="50" t="s">
        <v>367</v>
      </c>
      <c r="G322" s="80"/>
      <c r="H322" s="51" t="s">
        <v>368</v>
      </c>
      <c r="I322" s="80"/>
      <c r="J322" s="48" t="s">
        <v>369</v>
      </c>
      <c r="K322" s="80"/>
      <c r="L322" s="50" t="s">
        <v>370</v>
      </c>
      <c r="M322" s="81"/>
      <c r="N322" s="51"/>
      <c r="O322" s="81"/>
    </row>
    <row r="323" spans="1:15" s="4" customFormat="1" ht="16.5" customHeight="1">
      <c r="A323" s="20"/>
      <c r="B323" s="89"/>
      <c r="C323" s="33">
        <f>IF(DAY(DicDom1)=1,DicDom1+8,DicDom1+15)</f>
        <v>46006</v>
      </c>
      <c r="D323" s="21"/>
      <c r="E323" s="33">
        <f>IF(DAY(DicDom1)=1,DicDom1+9,DicDom1+16)</f>
        <v>46007</v>
      </c>
      <c r="F323" s="21"/>
      <c r="G323" s="33">
        <f>IF(DAY(DicDom1)=1,DicDom1+10,DicDom1+17)</f>
        <v>46008</v>
      </c>
      <c r="H323" s="21"/>
      <c r="I323" s="33">
        <f>IF(DAY(DicDom1)=1,DicDom1+11,DicDom1+18)</f>
        <v>46009</v>
      </c>
      <c r="J323" s="21"/>
      <c r="K323" s="33">
        <f>IF(DAY(DicDom1)=1,DicDom1+12,DicDom1+19)</f>
        <v>46010</v>
      </c>
      <c r="L323" s="21"/>
      <c r="M323" s="33">
        <f>IF(DAY(DicDom1)=1,DicDom1+13,DicDom1+20)</f>
        <v>46011</v>
      </c>
      <c r="N323" s="21"/>
      <c r="O323" s="33">
        <f>IF(DAY(DicDom1)=1,DicDom1+14,DicDom1+21)</f>
        <v>46012</v>
      </c>
    </row>
    <row r="324" spans="1:15" s="53" customFormat="1" ht="25.05" customHeight="1">
      <c r="A324" s="47"/>
      <c r="B324" s="90" t="s">
        <v>371</v>
      </c>
      <c r="C324" s="80"/>
      <c r="D324" s="50" t="s">
        <v>372</v>
      </c>
      <c r="E324" s="80"/>
      <c r="F324" s="50" t="s">
        <v>373</v>
      </c>
      <c r="G324" s="80"/>
      <c r="H324" s="51" t="s">
        <v>374</v>
      </c>
      <c r="I324" s="80"/>
      <c r="J324" s="48" t="s">
        <v>375</v>
      </c>
      <c r="K324" s="80"/>
      <c r="L324" s="50" t="s">
        <v>376</v>
      </c>
      <c r="M324" s="81"/>
      <c r="N324" s="51"/>
      <c r="O324" s="81"/>
    </row>
    <row r="325" spans="1:15" s="4" customFormat="1" ht="16.5" customHeight="1">
      <c r="A325" s="20"/>
      <c r="B325" s="89"/>
      <c r="C325" s="33">
        <f>IF(DAY(DicDom1)=1,DicDom1+15,DicDom1+22)</f>
        <v>46013</v>
      </c>
      <c r="D325" s="21"/>
      <c r="E325" s="33">
        <f>IF(DAY(DicDom1)=1,DicDom1+16,DicDom1+23)</f>
        <v>46014</v>
      </c>
      <c r="F325" s="21"/>
      <c r="G325" s="33">
        <f>IF(DAY(DicDom1)=1,DicDom1+17,DicDom1+24)</f>
        <v>46015</v>
      </c>
      <c r="H325" s="21"/>
      <c r="I325" s="33">
        <f>IF(DAY(DicDom1)=1,DicDom1+18,DicDom1+25)</f>
        <v>46016</v>
      </c>
      <c r="J325" s="21"/>
      <c r="K325" s="33">
        <f>IF(DAY(DicDom1)=1,DicDom1+19,DicDom1+26)</f>
        <v>46017</v>
      </c>
      <c r="L325" s="21"/>
      <c r="M325" s="33">
        <f>IF(DAY(DicDom1)=1,DicDom1+20,DicDom1+27)</f>
        <v>46018</v>
      </c>
      <c r="N325" s="21"/>
      <c r="O325" s="33">
        <f>IF(DAY(DicDom1)=1,DicDom1+21,DicDom1+28)</f>
        <v>46019</v>
      </c>
    </row>
    <row r="326" spans="1:15" s="53" customFormat="1" ht="25.05" customHeight="1">
      <c r="A326" s="47"/>
      <c r="B326" s="90" t="s">
        <v>377</v>
      </c>
      <c r="C326" s="80"/>
      <c r="D326" s="50" t="s">
        <v>378</v>
      </c>
      <c r="E326" s="80"/>
      <c r="F326" s="50" t="s">
        <v>379</v>
      </c>
      <c r="G326" s="80"/>
      <c r="H326" s="51" t="s">
        <v>380</v>
      </c>
      <c r="I326" s="80"/>
      <c r="J326" s="48" t="s">
        <v>381</v>
      </c>
      <c r="K326" s="80"/>
      <c r="L326" s="50" t="s">
        <v>382</v>
      </c>
      <c r="M326" s="81"/>
      <c r="N326" s="51"/>
      <c r="O326" s="81"/>
    </row>
    <row r="327" spans="1:15" s="4" customFormat="1" ht="16.5" customHeight="1">
      <c r="A327" s="20"/>
      <c r="B327" s="89"/>
      <c r="C327" s="33">
        <f>IF(DAY(DicDom1)=1,DicDom1+22,DicDom1+29)</f>
        <v>46020</v>
      </c>
      <c r="D327" s="21"/>
      <c r="E327" s="33">
        <f>IF(DAY(DicDom1)=1,DicDom1+23,DicDom1+30)</f>
        <v>46021</v>
      </c>
      <c r="F327" s="21"/>
      <c r="G327" s="33">
        <f>IF(DAY(DicDom1)=1,DicDom1+24,DicDom1+31)</f>
        <v>46022</v>
      </c>
      <c r="H327" s="21"/>
      <c r="I327" s="33">
        <f>IF(DAY(DicDom1)=1,DicDom1+25,DicDom1+32)</f>
        <v>46023</v>
      </c>
      <c r="J327" s="21"/>
      <c r="K327" s="33">
        <f>IF(DAY(DicDom1)=1,DicDom1+26,DicDom1+33)</f>
        <v>46024</v>
      </c>
      <c r="L327" s="21"/>
      <c r="M327" s="33">
        <f>IF(DAY(DicDom1)=1,DicDom1+27,DicDom1+34)</f>
        <v>46025</v>
      </c>
      <c r="N327" s="21"/>
      <c r="O327" s="33">
        <f>IF(DAY(DicDom1)=1,DicDom1+28,DicDom1+35)</f>
        <v>46026</v>
      </c>
    </row>
    <row r="328" spans="1:15" s="53" customFormat="1" ht="25.05" customHeight="1">
      <c r="A328" s="47"/>
      <c r="B328" s="90" t="s">
        <v>383</v>
      </c>
      <c r="C328" s="80"/>
      <c r="D328" s="50" t="s">
        <v>384</v>
      </c>
      <c r="E328" s="80"/>
      <c r="F328" s="50" t="s">
        <v>385</v>
      </c>
      <c r="G328" s="80"/>
      <c r="H328" s="51"/>
      <c r="I328" s="80"/>
      <c r="J328" s="50"/>
      <c r="K328" s="80"/>
      <c r="L328" s="51"/>
      <c r="M328" s="81"/>
      <c r="N328" s="51"/>
      <c r="O328" s="81"/>
    </row>
    <row r="329" spans="1:15" ht="8.25" customHeight="1">
      <c r="A329" s="20"/>
      <c r="B329" s="10"/>
      <c r="C329" s="17"/>
      <c r="D329" s="10"/>
      <c r="E329" s="17"/>
      <c r="F329" s="10"/>
      <c r="G329" s="17"/>
      <c r="H329" s="10"/>
      <c r="I329" s="17"/>
      <c r="J329" s="10"/>
      <c r="K329" s="17"/>
      <c r="L329" s="7"/>
      <c r="M329" s="18"/>
      <c r="N329" s="7"/>
      <c r="O329" s="18"/>
    </row>
    <row r="330" spans="1:15" ht="7.5" customHeight="1">
      <c r="B330" s="6"/>
      <c r="C330" s="6"/>
      <c r="D330" s="6"/>
      <c r="E330" s="6"/>
      <c r="F330" s="6"/>
      <c r="G330" s="6"/>
      <c r="H330" s="6"/>
      <c r="I330" s="6"/>
      <c r="J330" s="6"/>
      <c r="K330" s="6"/>
      <c r="L330" s="6"/>
      <c r="M330" s="6"/>
      <c r="N330" s="6"/>
      <c r="O330" s="6"/>
    </row>
  </sheetData>
  <mergeCells count="62">
    <mergeCell ref="B303:I317"/>
    <mergeCell ref="B251:J261"/>
    <mergeCell ref="B222:J236"/>
    <mergeCell ref="B194:J207"/>
    <mergeCell ref="B168:J180"/>
    <mergeCell ref="B193:I193"/>
    <mergeCell ref="J303:N317"/>
    <mergeCell ref="M302:P302"/>
    <mergeCell ref="J302:L302"/>
    <mergeCell ref="B302:I302"/>
    <mergeCell ref="K222:N236"/>
    <mergeCell ref="M250:O250"/>
    <mergeCell ref="J250:L250"/>
    <mergeCell ref="B250:I250"/>
    <mergeCell ref="M274:P274"/>
    <mergeCell ref="J274:L274"/>
    <mergeCell ref="R2:U8"/>
    <mergeCell ref="J114:N128"/>
    <mergeCell ref="J142:N154"/>
    <mergeCell ref="K168:N180"/>
    <mergeCell ref="K194:N207"/>
    <mergeCell ref="J167:L167"/>
    <mergeCell ref="M141:P141"/>
    <mergeCell ref="J2:M15"/>
    <mergeCell ref="J29:O43"/>
    <mergeCell ref="J58:N72"/>
    <mergeCell ref="J86:N100"/>
    <mergeCell ref="J28:L28"/>
    <mergeCell ref="M85:P85"/>
    <mergeCell ref="M57:O57"/>
    <mergeCell ref="J85:L85"/>
    <mergeCell ref="B274:I274"/>
    <mergeCell ref="K251:N261"/>
    <mergeCell ref="B275:J289"/>
    <mergeCell ref="K275:N289"/>
    <mergeCell ref="M167:P167"/>
    <mergeCell ref="M193:P193"/>
    <mergeCell ref="M221:P221"/>
    <mergeCell ref="J221:L221"/>
    <mergeCell ref="J193:L193"/>
    <mergeCell ref="B221:I221"/>
    <mergeCell ref="B58:I72"/>
    <mergeCell ref="B86:I100"/>
    <mergeCell ref="B85:I85"/>
    <mergeCell ref="B113:I113"/>
    <mergeCell ref="B114:I128"/>
    <mergeCell ref="B142:I154"/>
    <mergeCell ref="J113:L113"/>
    <mergeCell ref="M28:O28"/>
    <mergeCell ref="B167:I167"/>
    <mergeCell ref="R1:U1"/>
    <mergeCell ref="B141:I141"/>
    <mergeCell ref="J141:L141"/>
    <mergeCell ref="B1:I1"/>
    <mergeCell ref="B28:I28"/>
    <mergeCell ref="B57:I57"/>
    <mergeCell ref="J57:L57"/>
    <mergeCell ref="M1:P1"/>
    <mergeCell ref="J1:L1"/>
    <mergeCell ref="B2:I15"/>
    <mergeCell ref="B29:I43"/>
    <mergeCell ref="M113:P113"/>
  </mergeCells>
  <phoneticPr fontId="46" type="noConversion"/>
  <conditionalFormatting sqref="C17 E17 G17 I17 K17 M17 O17">
    <cfRule type="expression" dxfId="35" priority="40">
      <formula>DAY(C17)&gt;8</formula>
    </cfRule>
  </conditionalFormatting>
  <conditionalFormatting sqref="C25 E25 G25 I25 K25 M25 O25 C17 E17 G17 I17 K17 M17 O17 C19 E19 G19 I19 K19 M19 O19 C21 E21 G21 I21 K21 M21 O21 C23 E23 G23 I23 K23 M23 O23">
    <cfRule type="expression" dxfId="34" priority="42">
      <formula>B18&lt;&gt;""</formula>
    </cfRule>
  </conditionalFormatting>
  <conditionalFormatting sqref="C25 E25 G25 I25 K25 M25 O25">
    <cfRule type="expression" dxfId="33" priority="41">
      <formula>AND(DAY(C25)&gt;=1,DAY(C25)&lt;=15)</formula>
    </cfRule>
  </conditionalFormatting>
  <conditionalFormatting sqref="C45 E45 G45 I45 K45 M45 O45">
    <cfRule type="expression" dxfId="32" priority="37">
      <formula>DAY(C45)&gt;8</formula>
    </cfRule>
  </conditionalFormatting>
  <conditionalFormatting sqref="C53 E53 G53 I53 K53 M53 O53 C45 E45 G45 I45 K45 M45 O45 C47 E47 G47 I47 K47 M47 O47 C49 E49 G49 I49 K49 M49 O49 C51 E51 G51 I51 K51 M51 O51">
    <cfRule type="expression" dxfId="31" priority="39">
      <formula>B46&lt;&gt;""</formula>
    </cfRule>
  </conditionalFormatting>
  <conditionalFormatting sqref="C53 E53 G53 I53 K53 M53 O53">
    <cfRule type="expression" dxfId="30" priority="38">
      <formula>AND(DAY(C53)&gt;=1,DAY(C53)&lt;=15)</formula>
    </cfRule>
  </conditionalFormatting>
  <conditionalFormatting sqref="C74 E74 G74 I74 K74 M74 O74">
    <cfRule type="expression" dxfId="29" priority="34">
      <formula>DAY(C74)&gt;8</formula>
    </cfRule>
  </conditionalFormatting>
  <conditionalFormatting sqref="C82 E82 G82 I82 K82 M82 O82 C74 E74 G74 I74 K74 M74 O74 C76 E76 G76 I76 K76 M76 O76 C78 E78 G78 I78 K78 M78 O78 C80 E80 G80 I80 K80 M80 O80">
    <cfRule type="expression" dxfId="28" priority="36">
      <formula>B75&lt;&gt;""</formula>
    </cfRule>
  </conditionalFormatting>
  <conditionalFormatting sqref="C82 E82 G82 I82 K82 M82 O82">
    <cfRule type="expression" dxfId="27" priority="35">
      <formula>AND(DAY(C82)&gt;=1,DAY(C82)&lt;=15)</formula>
    </cfRule>
  </conditionalFormatting>
  <conditionalFormatting sqref="C102 E102 G102 I102 K102 M102 O102">
    <cfRule type="expression" dxfId="26" priority="31">
      <formula>DAY(C102)&gt;8</formula>
    </cfRule>
  </conditionalFormatting>
  <conditionalFormatting sqref="C110 E110 G110 I110 K110 M110 O110 C102 E102 G102 I102 K102 M102 O102 C104 E104 G104 I104 K104 M104 O104 C106 E106 G106 I106 K106 M106 O106 C108 E108 G108 I108 K108 M108 O108">
    <cfRule type="expression" dxfId="25" priority="33">
      <formula>B103&lt;&gt;""</formula>
    </cfRule>
  </conditionalFormatting>
  <conditionalFormatting sqref="C110 E110 G110 I110 K110 M110 O110">
    <cfRule type="expression" dxfId="24" priority="32">
      <formula>AND(DAY(C110)&gt;=1,DAY(C110)&lt;=15)</formula>
    </cfRule>
  </conditionalFormatting>
  <conditionalFormatting sqref="C130 E130 G130 I130 K130 M130 O130">
    <cfRule type="expression" dxfId="23" priority="28">
      <formula>DAY(C130)&gt;8</formula>
    </cfRule>
  </conditionalFormatting>
  <conditionalFormatting sqref="C138 E138 G138 I138 K138 M138 O138 C130 E130 G130 I130 K130 M130 O130 C132 E132 G132 I132 K132 M132 O132 C134 E134 G134 I134 K134 M134 O134 C136 E136 G136 I136 K136 M136 O136">
    <cfRule type="expression" dxfId="22" priority="30">
      <formula>B131&lt;&gt;""</formula>
    </cfRule>
  </conditionalFormatting>
  <conditionalFormatting sqref="C138 E138 G138 I138 K138 M138 O138">
    <cfRule type="expression" dxfId="21" priority="29">
      <formula>AND(DAY(C138)&gt;=1,DAY(C138)&lt;=15)</formula>
    </cfRule>
  </conditionalFormatting>
  <conditionalFormatting sqref="C156 E156 G156 I156 K156 M156 O156">
    <cfRule type="expression" dxfId="20" priority="25">
      <formula>DAY(C156)&gt;8</formula>
    </cfRule>
  </conditionalFormatting>
  <conditionalFormatting sqref="C164 E164 G164 I164 K164 M164 O164 C156 E156 G156 I156 K156 M156 O156 C158 E158 G158 I158 K158 M158 O158 C160 E160 G160 I160 K160 M160 O160 C162 E162 G162 I162 K162 M162 O162">
    <cfRule type="expression" dxfId="19" priority="27">
      <formula>B157&lt;&gt;""</formula>
    </cfRule>
  </conditionalFormatting>
  <conditionalFormatting sqref="C164 E164 G164 I164 K164 M164 O164">
    <cfRule type="expression" dxfId="18" priority="26">
      <formula>AND(DAY(C164)&gt;=1,DAY(C164)&lt;=15)</formula>
    </cfRule>
  </conditionalFormatting>
  <conditionalFormatting sqref="C182 E182 G182 I182 K182 M182 O182">
    <cfRule type="expression" dxfId="17" priority="22">
      <formula>DAY(C182)&gt;8</formula>
    </cfRule>
  </conditionalFormatting>
  <conditionalFormatting sqref="C190 E190 G190 I190 K190 M190 O190 C182 E182 G182 I182 K182 M182 O182 C184 E184 G184 I184 K184 M184 O184 C186 E186 G186 I186 K186 M186 O186 C188 E188 G188 I188 K188 M188 O188">
    <cfRule type="expression" dxfId="16" priority="24">
      <formula>B183&lt;&gt;""</formula>
    </cfRule>
  </conditionalFormatting>
  <conditionalFormatting sqref="C190 E190 G190 I190 K190 M190 O190">
    <cfRule type="expression" dxfId="15" priority="23">
      <formula>AND(DAY(C190)&gt;=1,DAY(C190)&lt;=15)</formula>
    </cfRule>
  </conditionalFormatting>
  <conditionalFormatting sqref="C209 E209 G209 I209 K209 M209 O209">
    <cfRule type="expression" dxfId="14" priority="19">
      <formula>DAY(C209)&gt;8</formula>
    </cfRule>
  </conditionalFormatting>
  <conditionalFormatting sqref="C217 E217 G217 I217 K217 M217 O217 C209 E209 G209 I209 K209 M209 O209 C211 E211 G211 I211 K211 M211 O211 C213 E213 G213 I213 K213 M213 O213 C215 E215 G215 I215 K215 M215 O215">
    <cfRule type="expression" dxfId="13" priority="21">
      <formula>B210&lt;&gt;""</formula>
    </cfRule>
  </conditionalFormatting>
  <conditionalFormatting sqref="C217 E217 G217 I217 K217 M217 O217">
    <cfRule type="expression" dxfId="12" priority="20">
      <formula>AND(DAY(C217)&gt;=1,DAY(C217)&lt;=15)</formula>
    </cfRule>
  </conditionalFormatting>
  <conditionalFormatting sqref="C238 E238 G238 I238 K238 M238 O238">
    <cfRule type="expression" dxfId="11" priority="16">
      <formula>DAY(C238)&gt;8</formula>
    </cfRule>
  </conditionalFormatting>
  <conditionalFormatting sqref="C246 E246 G246 I246 K246 M246 O246 C238 E238 G238 I238 K238 M238 O238 C240 E240 G240 I240 K240 M240 O240 C242 E242 G242 I242 K242 M242 O242 C244 E244 G244 I244 K244 M244 O244">
    <cfRule type="expression" dxfId="10" priority="18">
      <formula>B239&lt;&gt;""</formula>
    </cfRule>
  </conditionalFormatting>
  <conditionalFormatting sqref="C246 E246 G246 I246 K246 M246 O246">
    <cfRule type="expression" dxfId="9" priority="17">
      <formula>AND(DAY(C246)&gt;=1,DAY(C246)&lt;=15)</formula>
    </cfRule>
  </conditionalFormatting>
  <conditionalFormatting sqref="C263 E263 G263 I263 K263 M263 O263">
    <cfRule type="expression" dxfId="8" priority="13">
      <formula>DAY(C263)&gt;8</formula>
    </cfRule>
  </conditionalFormatting>
  <conditionalFormatting sqref="C271 E271 G271 I271 K271 M271 O271 C263 E263 G263 I263 K263 M263 O263 C265 E265 G265 I265 K265 M265 O265 C267 E267 G267 I267 K267 M267 O267 C269 E269 G269 I269 K269 M269 O269">
    <cfRule type="expression" dxfId="7" priority="15">
      <formula>B264&lt;&gt;""</formula>
    </cfRule>
  </conditionalFormatting>
  <conditionalFormatting sqref="C271 E271 G271 I271 K271 M271 O271">
    <cfRule type="expression" dxfId="6" priority="14">
      <formula>AND(DAY(C271)&gt;=1,DAY(C271)&lt;=15)</formula>
    </cfRule>
  </conditionalFormatting>
  <conditionalFormatting sqref="C291 E291 G291 I291 K291 M291 O291">
    <cfRule type="expression" dxfId="5" priority="10">
      <formula>DAY(C291)&gt;8</formula>
    </cfRule>
  </conditionalFormatting>
  <conditionalFormatting sqref="C299 E299 G299 I299 K299 M299 O299 C291 E291 G291 I291 K291 M291 O291 C293 E293 G293 I293 K293 M293 O293 C295 E295 G295 I295 K295 M295 O295 C297 E297 G297 I297 K297 M297 O297">
    <cfRule type="expression" dxfId="4" priority="12">
      <formula>B292&lt;&gt;""</formula>
    </cfRule>
  </conditionalFormatting>
  <conditionalFormatting sqref="C299 E299 G299 I299 K299 M299 O299">
    <cfRule type="expression" dxfId="3" priority="11">
      <formula>AND(DAY(C299)&gt;=1,DAY(C299)&lt;=15)</formula>
    </cfRule>
  </conditionalFormatting>
  <conditionalFormatting sqref="C319 E319 G319 I319 K319 M319 O319">
    <cfRule type="expression" dxfId="2" priority="7">
      <formula>DAY(C319)&gt;8</formula>
    </cfRule>
  </conditionalFormatting>
  <conditionalFormatting sqref="C327 E327 G327 I327 K327 M327 O327 C319 E319 G319 I319 K319 M319 O319 C321 E321 G321 I321 K321 M321 O321 C323 E323 G323 I323 K323 M323 O323 C325 E325 G325 I325 K325 M325 O325">
    <cfRule type="expression" dxfId="1" priority="9">
      <formula>B320&lt;&gt;""</formula>
    </cfRule>
  </conditionalFormatting>
  <conditionalFormatting sqref="C327 E327 G327 I327 K327 M327 O327">
    <cfRule type="expression" dxfId="0" priority="8">
      <formula>AND(DAY(C327)&gt;=1,DAY(C327)&lt;=15)</formula>
    </cfRule>
  </conditionalFormatting>
  <printOptions horizontalCentered="1" verticalCentered="1"/>
  <pageMargins left="0" right="0" top="0.98425196850393704" bottom="0" header="0.31496062992125984" footer="0.31496062992125984"/>
  <pageSetup paperSize="9" scale="86" fitToHeight="12" pageOrder="overThenDown" orientation="landscape" r:id="rId1"/>
  <headerFooter scaleWithDoc="0" alignWithMargins="0"/>
  <rowBreaks count="7" manualBreakCount="7">
    <brk id="26" max="16383" man="1"/>
    <brk id="55" max="16383" man="1"/>
    <brk id="83" max="16383" man="1"/>
    <brk id="111" max="16383" man="1"/>
    <brk id="139" max="16383" man="1"/>
    <brk id="218" max="16383" man="1"/>
    <brk id="247" max="16383" man="1"/>
  </rowBreaks>
  <customProperties>
    <customPr name="SheetChanged" r:id="rId2"/>
  </customProperties>
  <drawing r:id="rId3"/>
  <legacyDrawing r:id="rId4"/>
  <mc:AlternateContent xmlns:mc="http://schemas.openxmlformats.org/markup-compatibility/2006">
    <mc:Choice Requires="x14">
      <controls>
        <mc:AlternateContent xmlns:mc="http://schemas.openxmlformats.org/markup-compatibility/2006">
          <mc:Choice Requires="x14">
            <control shapeId="1025" r:id="rId5" name="Casella di selezione 1">
              <controlPr defaultSize="0" print="0" autoPict="0" altText="Controllo della casella di selezione. Usare la casella di selezione per cambiare l'anno del calendario oppure digitare l'anno che si vuole nella cella L2">
                <anchor moveWithCells="1">
                  <from>
                    <xdr:col>15</xdr:col>
                    <xdr:colOff>53340</xdr:colOff>
                    <xdr:row>0</xdr:row>
                    <xdr:rowOff>137160</xdr:rowOff>
                  </from>
                  <to>
                    <xdr:col>16</xdr:col>
                    <xdr:colOff>99060</xdr:colOff>
                    <xdr:row>1</xdr:row>
                    <xdr:rowOff>0</xdr:rowOff>
                  </to>
                </anchor>
              </controlPr>
            </control>
          </mc:Choice>
        </mc:AlternateContent>
      </controls>
    </mc:Choice>
  </mc:AlternateContent>
</worksheet>
</file>

<file path=docProps/app.xml><?xml version="1.0" encoding="utf-8"?>
<Properties xmlns="http://schemas.openxmlformats.org/officeDocument/2006/extended-properties" xmlns:vt="http://schemas.openxmlformats.org/officeDocument/2006/docPropsVTypes">
  <Template>TM16410232</Template>
  <TotalTime>0</TotalTime>
  <Application>Microsoft Excel</Application>
  <DocSecurity>0</DocSecurity>
  <ScaleCrop>false</ScaleCrop>
  <HeadingPairs>
    <vt:vector size="4" baseType="variant">
      <vt:variant>
        <vt:lpstr>Fogli di lavoro</vt:lpstr>
      </vt:variant>
      <vt:variant>
        <vt:i4>1</vt:i4>
      </vt:variant>
      <vt:variant>
        <vt:lpstr>Intervalli denominati</vt:lpstr>
      </vt:variant>
      <vt:variant>
        <vt:i4>1</vt:i4>
      </vt:variant>
    </vt:vector>
  </HeadingPairs>
  <TitlesOfParts>
    <vt:vector size="2" baseType="lpstr">
      <vt:lpstr>PIANO DI LETTURA</vt:lpstr>
      <vt:lpstr>AnnoCalendario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Microsoft Office User</dc:creator>
  <cp:keywords/>
  <dc:description/>
  <cp:lastModifiedBy>Angelo Nero</cp:lastModifiedBy>
  <cp:revision/>
  <cp:lastPrinted>2024-12-18T19:08:33Z</cp:lastPrinted>
  <dcterms:created xsi:type="dcterms:W3CDTF">2018-05-31T09:39:32Z</dcterms:created>
  <dcterms:modified xsi:type="dcterms:W3CDTF">2024-12-18T19:09:04Z</dcterms:modified>
  <cp:category/>
  <cp:contentStatus/>
</cp:coreProperties>
</file>