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8a5757c113279a2/Lavori MARIA/Post per Blog/Kids/"/>
    </mc:Choice>
  </mc:AlternateContent>
  <xr:revisionPtr revIDLastSave="770" documentId="8_{0F91E760-C621-A949-8371-DE33A03065A0}" xr6:coauthVersionLast="47" xr6:coauthVersionMax="47" xr10:uidLastSave="{348074D8-7F98-44B7-8682-5381BF6D2C6E}"/>
  <bookViews>
    <workbookView xWindow="-108" yWindow="-108" windowWidth="23256" windowHeight="12456" tabRatio="611" xr2:uid="{00000000-000D-0000-FFFF-FFFF00000000}"/>
  </bookViews>
  <sheets>
    <sheet name="Gen" sheetId="6" r:id="rId1"/>
    <sheet name="Feb" sheetId="9" r:id="rId2"/>
    <sheet name="Mar" sheetId="10" r:id="rId3"/>
    <sheet name="Apr" sheetId="11" r:id="rId4"/>
    <sheet name="Mag" sheetId="12" r:id="rId5"/>
    <sheet name="Giu" sheetId="13" r:id="rId6"/>
    <sheet name="Lug" sheetId="14" r:id="rId7"/>
    <sheet name="Ago" sheetId="15" r:id="rId8"/>
    <sheet name="Set" sheetId="16" r:id="rId9"/>
    <sheet name="Ott" sheetId="17" r:id="rId10"/>
    <sheet name="Nov" sheetId="18" r:id="rId11"/>
    <sheet name="Dic" sheetId="19" r:id="rId12"/>
  </sheets>
  <definedNames>
    <definedName name="AgoDom1">DATE(AnnoCalendario,8,1)-WEEKDAY(DATE(AnnoCalendario,8,1))+1</definedName>
    <definedName name="AnnoCalendario">Gen!$K$2</definedName>
    <definedName name="AprDom1">DATE(AnnoCalendario,4,1)-WEEKDAY(DATE(AnnoCalendario,4,1))+1</definedName>
    <definedName name="_xlnm.Print_Area" localSheetId="7">Ago!$B$2:$J$16</definedName>
    <definedName name="_xlnm.Print_Area" localSheetId="3">Apr!$B$2:$J$16</definedName>
    <definedName name="_xlnm.Print_Area" localSheetId="11">Dic!$B$2:$J$16</definedName>
    <definedName name="_xlnm.Print_Area" localSheetId="1">Feb!$B$2:$J$16</definedName>
    <definedName name="_xlnm.Print_Area" localSheetId="0">Gen!$B$2:$J$16</definedName>
    <definedName name="_xlnm.Print_Area" localSheetId="5">Giu!$B$2:$J$16</definedName>
    <definedName name="_xlnm.Print_Area" localSheetId="6">Lug!$B$2:$J$16</definedName>
    <definedName name="_xlnm.Print_Area" localSheetId="4">Mag!$B$2:$J$16</definedName>
    <definedName name="_xlnm.Print_Area" localSheetId="2">Mar!$B$2:$J$16</definedName>
    <definedName name="_xlnm.Print_Area" localSheetId="10">Nov!$B$2:$J$16</definedName>
    <definedName name="_xlnm.Print_Area" localSheetId="9">Ott!$B$2:$J$16</definedName>
    <definedName name="_xlnm.Print_Area" localSheetId="8">Set!$B$2:$J$16</definedName>
    <definedName name="DicDom1">DATE(AnnoCalendario,12,1)-WEEKDAY(DATE(AnnoCalendario,12,1))+1</definedName>
    <definedName name="FebDom1">DATE(AnnoCalendario,2,1)-WEEKDAY(DATE(AnnoCalendario,2,1))+1</definedName>
    <definedName name="GenDom1">DATE(AnnoCalendario,1,1)-WEEKDAY(DATE(AnnoCalendario,1,1))+1</definedName>
    <definedName name="GiuDom1">DATE(AnnoCalendario,6,1)-WEEKDAY(DATE(AnnoCalendario,6,1))+1</definedName>
    <definedName name="LugDom1">DATE(AnnoCalendario,7,1)-WEEKDAY(DATE(AnnoCalendario,7,1))+1</definedName>
    <definedName name="MagDom1">DATE(AnnoCalendario,5,1)-WEEKDAY(DATE(AnnoCalendario,5,1))+1</definedName>
    <definedName name="MarDom1">DATE(AnnoCalendario,3,1)-WEEKDAY(DATE(AnnoCalendario,3,1))+1</definedName>
    <definedName name="NovDom1">DATE(AnnoCalendario,11,1)-WEEKDAY(DATE(AnnoCalendario,11,1))+1</definedName>
    <definedName name="OttDom1">DATE(AnnoCalendario,10,1)-WEEKDAY(DATE(AnnoCalendario,10,1))+1</definedName>
    <definedName name="SetDom1">DATE(AnnoCalendario,9,1)-WEEKDAY(DATE(AnnoCalendario,9,1))+1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9" l="1"/>
  <c r="B7" i="6"/>
  <c r="H11" i="13"/>
  <c r="G11" i="13"/>
  <c r="H9" i="13"/>
  <c r="G9" i="13"/>
  <c r="H7" i="13"/>
  <c r="G7" i="13"/>
  <c r="D13" i="9"/>
  <c r="E13" i="9"/>
  <c r="F13" i="9"/>
  <c r="G13" i="9"/>
  <c r="H13" i="9"/>
  <c r="B15" i="9"/>
  <c r="C15" i="9"/>
  <c r="C15" i="19" l="1"/>
  <c r="F13" i="19"/>
  <c r="B13" i="19"/>
  <c r="E11" i="19"/>
  <c r="H9" i="19"/>
  <c r="D9" i="19"/>
  <c r="G7" i="19"/>
  <c r="C7" i="19"/>
  <c r="F5" i="19"/>
  <c r="B5" i="19"/>
  <c r="C9" i="19"/>
  <c r="B7" i="19"/>
  <c r="H13" i="19"/>
  <c r="G11" i="19"/>
  <c r="F9" i="19"/>
  <c r="E7" i="19"/>
  <c r="D5" i="19"/>
  <c r="C13" i="19"/>
  <c r="F11" i="19"/>
  <c r="E9" i="19"/>
  <c r="H7" i="19"/>
  <c r="G5" i="19"/>
  <c r="B15" i="19"/>
  <c r="E13" i="19"/>
  <c r="H11" i="19"/>
  <c r="D11" i="19"/>
  <c r="G9" i="19"/>
  <c r="F7" i="19"/>
  <c r="E5" i="19"/>
  <c r="D13" i="19"/>
  <c r="C11" i="19"/>
  <c r="B9" i="19"/>
  <c r="H5" i="19"/>
  <c r="G13" i="19"/>
  <c r="B11" i="19"/>
  <c r="D7" i="19"/>
  <c r="C5" i="19"/>
  <c r="C15" i="18"/>
  <c r="F13" i="18"/>
  <c r="B13" i="18"/>
  <c r="E11" i="18"/>
  <c r="H9" i="18"/>
  <c r="D9" i="18"/>
  <c r="G7" i="18"/>
  <c r="C7" i="18"/>
  <c r="F5" i="18"/>
  <c r="B5" i="18"/>
  <c r="D13" i="18"/>
  <c r="G11" i="18"/>
  <c r="F9" i="18"/>
  <c r="E7" i="18"/>
  <c r="D5" i="18"/>
  <c r="G13" i="18"/>
  <c r="F11" i="18"/>
  <c r="E9" i="18"/>
  <c r="D7" i="18"/>
  <c r="C5" i="18"/>
  <c r="B15" i="18"/>
  <c r="E13" i="18"/>
  <c r="H11" i="18"/>
  <c r="D11" i="18"/>
  <c r="G9" i="18"/>
  <c r="C9" i="18"/>
  <c r="F7" i="18"/>
  <c r="B7" i="18"/>
  <c r="E5" i="18"/>
  <c r="H13" i="18"/>
  <c r="C11" i="18"/>
  <c r="B9" i="18"/>
  <c r="H5" i="18"/>
  <c r="C13" i="18"/>
  <c r="B11" i="18"/>
  <c r="H7" i="18"/>
  <c r="G5" i="18"/>
  <c r="C15" i="17"/>
  <c r="F13" i="17"/>
  <c r="B13" i="17"/>
  <c r="E11" i="17"/>
  <c r="H9" i="17"/>
  <c r="D9" i="17"/>
  <c r="G7" i="17"/>
  <c r="C7" i="17"/>
  <c r="F5" i="17"/>
  <c r="B5" i="17"/>
  <c r="B15" i="17"/>
  <c r="E13" i="17"/>
  <c r="H11" i="17"/>
  <c r="D11" i="17"/>
  <c r="G9" i="17"/>
  <c r="C9" i="17"/>
  <c r="F7" i="17"/>
  <c r="B7" i="17"/>
  <c r="E5" i="17"/>
  <c r="H13" i="17"/>
  <c r="D13" i="17"/>
  <c r="G11" i="17"/>
  <c r="C11" i="17"/>
  <c r="F9" i="17"/>
  <c r="B9" i="17"/>
  <c r="E7" i="17"/>
  <c r="H5" i="17"/>
  <c r="D5" i="17"/>
  <c r="G13" i="17"/>
  <c r="C13" i="17"/>
  <c r="F11" i="17"/>
  <c r="B11" i="17"/>
  <c r="E9" i="17"/>
  <c r="H7" i="17"/>
  <c r="D7" i="17"/>
  <c r="G5" i="17"/>
  <c r="C5" i="17"/>
  <c r="C15" i="16"/>
  <c r="F13" i="16"/>
  <c r="B13" i="16"/>
  <c r="E11" i="16"/>
  <c r="H9" i="16"/>
  <c r="D9" i="16"/>
  <c r="G7" i="16"/>
  <c r="C7" i="16"/>
  <c r="F5" i="16"/>
  <c r="B5" i="16"/>
  <c r="D13" i="16"/>
  <c r="C11" i="16"/>
  <c r="B9" i="16"/>
  <c r="H5" i="16"/>
  <c r="C13" i="16"/>
  <c r="F11" i="16"/>
  <c r="H7" i="16"/>
  <c r="G5" i="16"/>
  <c r="B15" i="16"/>
  <c r="E13" i="16"/>
  <c r="H11" i="16"/>
  <c r="D11" i="16"/>
  <c r="G9" i="16"/>
  <c r="C9" i="16"/>
  <c r="F7" i="16"/>
  <c r="B7" i="16"/>
  <c r="E5" i="16"/>
  <c r="H13" i="16"/>
  <c r="G11" i="16"/>
  <c r="F9" i="16"/>
  <c r="E7" i="16"/>
  <c r="D5" i="16"/>
  <c r="G13" i="16"/>
  <c r="B11" i="16"/>
  <c r="E9" i="16"/>
  <c r="D7" i="16"/>
  <c r="C5" i="16"/>
  <c r="C15" i="15"/>
  <c r="F13" i="15"/>
  <c r="B13" i="15"/>
  <c r="E11" i="15"/>
  <c r="H9" i="15"/>
  <c r="D9" i="15"/>
  <c r="G7" i="15"/>
  <c r="C7" i="15"/>
  <c r="F5" i="15"/>
  <c r="B5" i="15"/>
  <c r="D13" i="15"/>
  <c r="C11" i="15"/>
  <c r="B9" i="15"/>
  <c r="H5" i="15"/>
  <c r="C13" i="15"/>
  <c r="B11" i="15"/>
  <c r="H7" i="15"/>
  <c r="G5" i="15"/>
  <c r="B15" i="15"/>
  <c r="E13" i="15"/>
  <c r="H11" i="15"/>
  <c r="D11" i="15"/>
  <c r="G9" i="15"/>
  <c r="C9" i="15"/>
  <c r="F7" i="15"/>
  <c r="B7" i="15"/>
  <c r="E5" i="15"/>
  <c r="H13" i="15"/>
  <c r="G11" i="15"/>
  <c r="F9" i="15"/>
  <c r="E7" i="15"/>
  <c r="D5" i="15"/>
  <c r="G13" i="15"/>
  <c r="F11" i="15"/>
  <c r="E9" i="15"/>
  <c r="D7" i="15"/>
  <c r="C5" i="15"/>
  <c r="C15" i="14"/>
  <c r="F13" i="14"/>
  <c r="B13" i="14"/>
  <c r="E11" i="14"/>
  <c r="H9" i="14"/>
  <c r="D9" i="14"/>
  <c r="G7" i="14"/>
  <c r="C7" i="14"/>
  <c r="F5" i="14"/>
  <c r="B5" i="14"/>
  <c r="F11" i="14"/>
  <c r="E9" i="14"/>
  <c r="G5" i="14"/>
  <c r="B15" i="14"/>
  <c r="E13" i="14"/>
  <c r="H11" i="14"/>
  <c r="D11" i="14"/>
  <c r="G9" i="14"/>
  <c r="C9" i="14"/>
  <c r="F7" i="14"/>
  <c r="B7" i="14"/>
  <c r="E5" i="14"/>
  <c r="C13" i="14"/>
  <c r="B11" i="14"/>
  <c r="D7" i="14"/>
  <c r="H13" i="14"/>
  <c r="D13" i="14"/>
  <c r="G11" i="14"/>
  <c r="C11" i="14"/>
  <c r="F9" i="14"/>
  <c r="B9" i="14"/>
  <c r="E7" i="14"/>
  <c r="H5" i="14"/>
  <c r="D5" i="14"/>
  <c r="G13" i="14"/>
  <c r="H7" i="14"/>
  <c r="C5" i="14"/>
  <c r="C15" i="13"/>
  <c r="F13" i="13"/>
  <c r="B13" i="13"/>
  <c r="E11" i="13"/>
  <c r="D9" i="13"/>
  <c r="C7" i="13"/>
  <c r="F5" i="13"/>
  <c r="B5" i="13"/>
  <c r="G13" i="13"/>
  <c r="C13" i="13"/>
  <c r="F11" i="13"/>
  <c r="B11" i="13"/>
  <c r="E9" i="13"/>
  <c r="D7" i="13"/>
  <c r="G5" i="13"/>
  <c r="C5" i="13"/>
  <c r="B15" i="13"/>
  <c r="E13" i="13"/>
  <c r="D11" i="13"/>
  <c r="C9" i="13"/>
  <c r="F7" i="13"/>
  <c r="B7" i="13"/>
  <c r="E5" i="13"/>
  <c r="H13" i="13"/>
  <c r="D13" i="13"/>
  <c r="C11" i="13"/>
  <c r="F9" i="13"/>
  <c r="B9" i="13"/>
  <c r="E7" i="13"/>
  <c r="H5" i="13"/>
  <c r="D5" i="13"/>
  <c r="C15" i="12"/>
  <c r="F13" i="12"/>
  <c r="B13" i="12"/>
  <c r="E11" i="12"/>
  <c r="H9" i="12"/>
  <c r="D9" i="12"/>
  <c r="G7" i="12"/>
  <c r="C7" i="12"/>
  <c r="F5" i="12"/>
  <c r="B5" i="12"/>
  <c r="D13" i="12"/>
  <c r="G11" i="12"/>
  <c r="F9" i="12"/>
  <c r="E7" i="12"/>
  <c r="D5" i="12"/>
  <c r="C13" i="12"/>
  <c r="F11" i="12"/>
  <c r="E9" i="12"/>
  <c r="D7" i="12"/>
  <c r="C5" i="12"/>
  <c r="B15" i="12"/>
  <c r="E13" i="12"/>
  <c r="H11" i="12"/>
  <c r="D11" i="12"/>
  <c r="G9" i="12"/>
  <c r="C9" i="12"/>
  <c r="F7" i="12"/>
  <c r="B7" i="12"/>
  <c r="E5" i="12"/>
  <c r="H13" i="12"/>
  <c r="C11" i="12"/>
  <c r="B9" i="12"/>
  <c r="H5" i="12"/>
  <c r="G13" i="12"/>
  <c r="B11" i="12"/>
  <c r="H7" i="12"/>
  <c r="G5" i="12"/>
  <c r="C15" i="11"/>
  <c r="F13" i="11"/>
  <c r="B13" i="11"/>
  <c r="E11" i="11"/>
  <c r="H9" i="11"/>
  <c r="D9" i="11"/>
  <c r="G7" i="11"/>
  <c r="C7" i="11"/>
  <c r="F5" i="11"/>
  <c r="B5" i="11"/>
  <c r="D13" i="11"/>
  <c r="G13" i="11"/>
  <c r="C13" i="11"/>
  <c r="F11" i="11"/>
  <c r="B11" i="11"/>
  <c r="H7" i="11"/>
  <c r="D7" i="11"/>
  <c r="G5" i="11"/>
  <c r="C5" i="11"/>
  <c r="B15" i="11"/>
  <c r="E13" i="11"/>
  <c r="H11" i="11"/>
  <c r="D11" i="11"/>
  <c r="G9" i="11"/>
  <c r="C9" i="11"/>
  <c r="F7" i="11"/>
  <c r="B7" i="11"/>
  <c r="E5" i="11"/>
  <c r="H13" i="11"/>
  <c r="G11" i="11"/>
  <c r="C11" i="11"/>
  <c r="F9" i="11"/>
  <c r="B9" i="11"/>
  <c r="E7" i="11"/>
  <c r="H5" i="11"/>
  <c r="D5" i="11"/>
  <c r="E9" i="11"/>
  <c r="B15" i="10"/>
  <c r="E13" i="10"/>
  <c r="H11" i="10"/>
  <c r="D11" i="10"/>
  <c r="G9" i="10"/>
  <c r="C9" i="10"/>
  <c r="F7" i="10"/>
  <c r="B7" i="10"/>
  <c r="E5" i="10"/>
  <c r="H13" i="10"/>
  <c r="D13" i="10"/>
  <c r="G11" i="10"/>
  <c r="C11" i="10"/>
  <c r="F9" i="10"/>
  <c r="B9" i="10"/>
  <c r="E7" i="10"/>
  <c r="H5" i="10"/>
  <c r="D5" i="10"/>
  <c r="G13" i="10"/>
  <c r="C13" i="10"/>
  <c r="F11" i="10"/>
  <c r="B11" i="10"/>
  <c r="E9" i="10"/>
  <c r="H7" i="10"/>
  <c r="D7" i="10"/>
  <c r="G5" i="10"/>
  <c r="C5" i="10"/>
  <c r="C15" i="10"/>
  <c r="F13" i="10"/>
  <c r="B13" i="10"/>
  <c r="E11" i="10"/>
  <c r="H9" i="10"/>
  <c r="D9" i="10"/>
  <c r="G7" i="10"/>
  <c r="C7" i="10"/>
  <c r="F5" i="10"/>
  <c r="B5" i="10"/>
  <c r="B13" i="9"/>
  <c r="E11" i="9"/>
  <c r="H9" i="9"/>
  <c r="D9" i="9"/>
  <c r="G7" i="9"/>
  <c r="C7" i="9"/>
  <c r="F5" i="9"/>
  <c r="B5" i="9"/>
  <c r="F11" i="9"/>
  <c r="H7" i="9"/>
  <c r="C5" i="9"/>
  <c r="H11" i="9"/>
  <c r="D11" i="9"/>
  <c r="G9" i="9"/>
  <c r="C9" i="9"/>
  <c r="F7" i="9"/>
  <c r="B7" i="9"/>
  <c r="E5" i="9"/>
  <c r="C13" i="9"/>
  <c r="B11" i="9"/>
  <c r="D7" i="9"/>
  <c r="G11" i="9"/>
  <c r="C11" i="9"/>
  <c r="F9" i="9"/>
  <c r="B9" i="9"/>
  <c r="E7" i="9"/>
  <c r="H5" i="9"/>
  <c r="D5" i="9"/>
  <c r="E9" i="9"/>
  <c r="G5" i="9"/>
  <c r="B15" i="6"/>
  <c r="E13" i="6"/>
  <c r="H11" i="6"/>
  <c r="D11" i="6"/>
  <c r="G9" i="6"/>
  <c r="C9" i="6"/>
  <c r="F7" i="6"/>
  <c r="E5" i="6"/>
  <c r="C13" i="6"/>
  <c r="B11" i="6"/>
  <c r="H7" i="6"/>
  <c r="G5" i="6"/>
  <c r="C15" i="6"/>
  <c r="E11" i="6"/>
  <c r="D9" i="6"/>
  <c r="G7" i="6"/>
  <c r="B5" i="6"/>
  <c r="H13" i="6"/>
  <c r="D13" i="6"/>
  <c r="G11" i="6"/>
  <c r="C11" i="6"/>
  <c r="F9" i="6"/>
  <c r="B9" i="6"/>
  <c r="E7" i="6"/>
  <c r="H5" i="6"/>
  <c r="D5" i="6"/>
  <c r="G13" i="6"/>
  <c r="F11" i="6"/>
  <c r="E9" i="6"/>
  <c r="D7" i="6"/>
  <c r="C5" i="6"/>
  <c r="F13" i="6"/>
  <c r="B13" i="6"/>
  <c r="H9" i="6"/>
  <c r="C7" i="6"/>
  <c r="F5" i="6"/>
  <c r="B3" i="9"/>
  <c r="B3" i="12"/>
  <c r="B3" i="16"/>
  <c r="B3" i="6"/>
  <c r="B3" i="13"/>
  <c r="B3" i="17"/>
  <c r="B3" i="10"/>
  <c r="B3" i="14"/>
  <c r="B3" i="18"/>
  <c r="B3" i="11"/>
  <c r="B3" i="15"/>
</calcChain>
</file>

<file path=xl/sharedStrings.xml><?xml version="1.0" encoding="utf-8"?>
<sst xmlns="http://schemas.openxmlformats.org/spreadsheetml/2006/main" count="487" uniqueCount="272">
  <si>
    <t>LUNEDÌ</t>
  </si>
  <si>
    <t>MARTEDÌ</t>
  </si>
  <si>
    <t>MERCOLEDÌ</t>
  </si>
  <si>
    <t>NOTE:</t>
  </si>
  <si>
    <t>GIOVEDÌ</t>
  </si>
  <si>
    <t>VENERDÌ</t>
  </si>
  <si>
    <t>SABATO</t>
  </si>
  <si>
    <t>DOMENICA</t>
  </si>
  <si>
    <t>SELEZIONARE L'ANNO:</t>
  </si>
  <si>
    <t>GENESI 1</t>
  </si>
  <si>
    <t>GENESI 2</t>
  </si>
  <si>
    <t>GENESI 3</t>
  </si>
  <si>
    <t>IL PECCATO</t>
  </si>
  <si>
    <t>GENESI 4:1-17; 25-26; 5:1-5</t>
  </si>
  <si>
    <t>NOE' E IL DILUVIO</t>
  </si>
  <si>
    <t>GENESI 6</t>
  </si>
  <si>
    <t>GENESI 7</t>
  </si>
  <si>
    <t>GENESI 8</t>
  </si>
  <si>
    <t>GENESI 9</t>
  </si>
  <si>
    <t>TORRE DI BABELE</t>
  </si>
  <si>
    <t>GENESI 11:1-9</t>
  </si>
  <si>
    <t>GENESI 12</t>
  </si>
  <si>
    <t>GENESI 15</t>
  </si>
  <si>
    <t>GENESI 16</t>
  </si>
  <si>
    <t>GENESI 17</t>
  </si>
  <si>
    <t>GENESI 18:1-15</t>
  </si>
  <si>
    <t>GENESI 13</t>
  </si>
  <si>
    <t>SODOMA E GOMORRA</t>
  </si>
  <si>
    <t>GENESI 18:16-33</t>
  </si>
  <si>
    <t>GENESI 19:1-29</t>
  </si>
  <si>
    <t>ISACCO</t>
  </si>
  <si>
    <t>GENESI 21:1-20</t>
  </si>
  <si>
    <t>GENESI 22:1-19</t>
  </si>
  <si>
    <t>GENESI 24:1-32</t>
  </si>
  <si>
    <t>GENESI 24:33-67</t>
  </si>
  <si>
    <t>GENESI 25:21-34</t>
  </si>
  <si>
    <t>GENESI 27</t>
  </si>
  <si>
    <t>😴</t>
  </si>
  <si>
    <t>GIACOBBE</t>
  </si>
  <si>
    <t>GENESI 28</t>
  </si>
  <si>
    <t xml:space="preserve">ABRAMO </t>
  </si>
  <si>
    <t>GENESI 29</t>
  </si>
  <si>
    <t>GENESI 30:1-24</t>
  </si>
  <si>
    <t>GENESI 32</t>
  </si>
  <si>
    <t>GENESI 33</t>
  </si>
  <si>
    <t>GENESI 35</t>
  </si>
  <si>
    <t>GIUSEPPE</t>
  </si>
  <si>
    <t>GENESI 37</t>
  </si>
  <si>
    <t>GENESI 39</t>
  </si>
  <si>
    <t>GENESI 40</t>
  </si>
  <si>
    <t>GENESI 41</t>
  </si>
  <si>
    <t>GENESI 42</t>
  </si>
  <si>
    <t>GENESI 43</t>
  </si>
  <si>
    <t>GENESI 44</t>
  </si>
  <si>
    <t>GENESI 45</t>
  </si>
  <si>
    <t>GENESI 47</t>
  </si>
  <si>
    <t>GENESI 50</t>
  </si>
  <si>
    <t>MOSE'</t>
  </si>
  <si>
    <t>ESODO 2</t>
  </si>
  <si>
    <t>ESODO 3</t>
  </si>
  <si>
    <t>ESODO 4</t>
  </si>
  <si>
    <t>ESODO 5</t>
  </si>
  <si>
    <t>ESODO 7</t>
  </si>
  <si>
    <t>ESODO 8</t>
  </si>
  <si>
    <t>ESODO 9</t>
  </si>
  <si>
    <t>ESODO 10</t>
  </si>
  <si>
    <t>ESODO 11</t>
  </si>
  <si>
    <t>ESODO 12:1-28</t>
  </si>
  <si>
    <t>ESODO 12:29-51</t>
  </si>
  <si>
    <t>ESODO 13</t>
  </si>
  <si>
    <t>ESODO 14</t>
  </si>
  <si>
    <t>ESODO 20</t>
  </si>
  <si>
    <t>DEUTERONOMIO 6</t>
  </si>
  <si>
    <t>DEUTERONOMIO31</t>
  </si>
  <si>
    <t>DEUTERONOMIO 32</t>
  </si>
  <si>
    <t>GIOSUE'</t>
  </si>
  <si>
    <t>GIOSUE' 1</t>
  </si>
  <si>
    <t>GIOSUE' 6</t>
  </si>
  <si>
    <t>GEDEONE</t>
  </si>
  <si>
    <t>GIUDICI 6</t>
  </si>
  <si>
    <t>GIUDICI 7</t>
  </si>
  <si>
    <t>SANSONE</t>
  </si>
  <si>
    <t>GIUDICI 13</t>
  </si>
  <si>
    <t>GIUDICI 14</t>
  </si>
  <si>
    <t>GIUDICI 15</t>
  </si>
  <si>
    <t>GIUDICI 16</t>
  </si>
  <si>
    <t>RUT</t>
  </si>
  <si>
    <t>RUT 1</t>
  </si>
  <si>
    <t>RUT 2</t>
  </si>
  <si>
    <t>RUT 3</t>
  </si>
  <si>
    <t>RUT 4</t>
  </si>
  <si>
    <t>SAMUELE</t>
  </si>
  <si>
    <t>1 SAMUELE 1</t>
  </si>
  <si>
    <t>1 SAMUELE 3</t>
  </si>
  <si>
    <t>SAUL</t>
  </si>
  <si>
    <t>1 SAMUELE 8</t>
  </si>
  <si>
    <t>1 SAMUELE 9</t>
  </si>
  <si>
    <t>1 SAMUELE 10</t>
  </si>
  <si>
    <t>1 SAMUELE 13</t>
  </si>
  <si>
    <t>1 SAMUELE 15</t>
  </si>
  <si>
    <t>DAVIDE</t>
  </si>
  <si>
    <t>1 SAMUELE 17</t>
  </si>
  <si>
    <t>1 SAMUELE 18:1-16</t>
  </si>
  <si>
    <t>ESODO 40</t>
  </si>
  <si>
    <t>2 SAMUELE 5:1-9; 7:1-16</t>
  </si>
  <si>
    <t>SALOMONE</t>
  </si>
  <si>
    <t>1 RE 1:11-40</t>
  </si>
  <si>
    <t>1 RE 3</t>
  </si>
  <si>
    <t>1 RE 8:1-30</t>
  </si>
  <si>
    <t>1 RE 17</t>
  </si>
  <si>
    <t xml:space="preserve"> 2 RE 4</t>
  </si>
  <si>
    <t>GIOSIA</t>
  </si>
  <si>
    <t>2 RE 22</t>
  </si>
  <si>
    <t>2 RE 23:1-30</t>
  </si>
  <si>
    <t>ESDRA E NEEMIA</t>
  </si>
  <si>
    <t>NEEMIA 8</t>
  </si>
  <si>
    <t>APOCALISSE 21</t>
  </si>
  <si>
    <t>APOCALISSE 20</t>
  </si>
  <si>
    <t>APOCALISSE 5</t>
  </si>
  <si>
    <t>APOCALISSE 4</t>
  </si>
  <si>
    <t>APOCALISSE 1</t>
  </si>
  <si>
    <t>APOCALISSE</t>
  </si>
  <si>
    <t>1 GIOVANNI 1:5-10</t>
  </si>
  <si>
    <t>EBREI 11:1-29</t>
  </si>
  <si>
    <t>EFESINI 6:1-2; COLOSSESI 3:20-21, 23-25</t>
  </si>
  <si>
    <t>GALATI 5:16-26</t>
  </si>
  <si>
    <t>1 CORINZI 13</t>
  </si>
  <si>
    <t>EPISTOLE</t>
  </si>
  <si>
    <t>ATTI 27</t>
  </si>
  <si>
    <t>ATTI 16:16-40</t>
  </si>
  <si>
    <t>ATTI 9</t>
  </si>
  <si>
    <t>PAOLO</t>
  </si>
  <si>
    <t>ATTI 3</t>
  </si>
  <si>
    <t>ATTI 2</t>
  </si>
  <si>
    <t>ATTI 1</t>
  </si>
  <si>
    <t>PIETRO</t>
  </si>
  <si>
    <t>🎄🎅</t>
  </si>
  <si>
    <t>MATTEO 1</t>
  </si>
  <si>
    <t>MATTEO 2</t>
  </si>
  <si>
    <t>MATTEO 3</t>
  </si>
  <si>
    <t>MATTEO 4</t>
  </si>
  <si>
    <t>MATTEO 5</t>
  </si>
  <si>
    <t>MATTEO 6</t>
  </si>
  <si>
    <t>MATTEO 7</t>
  </si>
  <si>
    <t>MATTEO 8</t>
  </si>
  <si>
    <t>MATTEO 9</t>
  </si>
  <si>
    <t>MATTEO 19</t>
  </si>
  <si>
    <t>MATTEO 10</t>
  </si>
  <si>
    <t>MATTEO 11</t>
  </si>
  <si>
    <t>MATTEO 12</t>
  </si>
  <si>
    <t>MATTEO 13</t>
  </si>
  <si>
    <t>MATTEO 14</t>
  </si>
  <si>
    <t>MATTEO 15</t>
  </si>
  <si>
    <t>MATTEO 16</t>
  </si>
  <si>
    <t>MATTEO 17</t>
  </si>
  <si>
    <t>MATTEO 18</t>
  </si>
  <si>
    <t>MATTEO 20</t>
  </si>
  <si>
    <t>MATTEO 21</t>
  </si>
  <si>
    <t>MATTEO 22</t>
  </si>
  <si>
    <t>MATTEO 23</t>
  </si>
  <si>
    <t>MATTEO 24</t>
  </si>
  <si>
    <t>MATTEI 25</t>
  </si>
  <si>
    <t>MATTEO 26</t>
  </si>
  <si>
    <t>MATTEO 27</t>
  </si>
  <si>
    <t>MATTEO 28</t>
  </si>
  <si>
    <t xml:space="preserve">MARCO 1 </t>
  </si>
  <si>
    <t>MARCO 2</t>
  </si>
  <si>
    <t>MARCO 3</t>
  </si>
  <si>
    <t>MARCO 4</t>
  </si>
  <si>
    <t>MARCO 5</t>
  </si>
  <si>
    <t>MARCO 6</t>
  </si>
  <si>
    <t>MARCO 7</t>
  </si>
  <si>
    <t>MARCO 8</t>
  </si>
  <si>
    <t>MARCO 10</t>
  </si>
  <si>
    <t>MARCO 11</t>
  </si>
  <si>
    <t>MARCO 12</t>
  </si>
  <si>
    <t>MARCO 13</t>
  </si>
  <si>
    <t>MARCO 14</t>
  </si>
  <si>
    <t>MARCO 15</t>
  </si>
  <si>
    <t>MARCO 16</t>
  </si>
  <si>
    <t>LUCA 1</t>
  </si>
  <si>
    <t>LUCA 2</t>
  </si>
  <si>
    <t>LUCA 3</t>
  </si>
  <si>
    <t>LUCA 4</t>
  </si>
  <si>
    <t>LUCA 5</t>
  </si>
  <si>
    <t>LUCA 6</t>
  </si>
  <si>
    <t>LUCA 7</t>
  </si>
  <si>
    <t>LUCA 8</t>
  </si>
  <si>
    <t>LUCA 9</t>
  </si>
  <si>
    <t>LUCA 10</t>
  </si>
  <si>
    <t>LUCA 11</t>
  </si>
  <si>
    <t>LUCA 12</t>
  </si>
  <si>
    <t>LUCA 13</t>
  </si>
  <si>
    <t>MARCO 9</t>
  </si>
  <si>
    <t>LUCA 14</t>
  </si>
  <si>
    <t>LUCA 15</t>
  </si>
  <si>
    <t>LUCA 16</t>
  </si>
  <si>
    <t>LUCA 17</t>
  </si>
  <si>
    <t>LUCA 18</t>
  </si>
  <si>
    <t>LUCA 19</t>
  </si>
  <si>
    <t>LUCA 20</t>
  </si>
  <si>
    <t>LUCA 21</t>
  </si>
  <si>
    <t>LUCA 22</t>
  </si>
  <si>
    <t>LUCA 23</t>
  </si>
  <si>
    <t>LUCA 24</t>
  </si>
  <si>
    <t>GIOVANNI 1</t>
  </si>
  <si>
    <t>GIOVANNI 2</t>
  </si>
  <si>
    <t>GIOVANNI 3</t>
  </si>
  <si>
    <t>GIOVANNI 4</t>
  </si>
  <si>
    <t>GIOVANNI 5</t>
  </si>
  <si>
    <t>GIOVANNI 6</t>
  </si>
  <si>
    <t>GIOVANNI 7</t>
  </si>
  <si>
    <t>GIOVANNI 8</t>
  </si>
  <si>
    <t>GIOVANNI 9</t>
  </si>
  <si>
    <t>GIOVANNI 10</t>
  </si>
  <si>
    <t>GIOVANNI 11</t>
  </si>
  <si>
    <t>GIOVANNI 12</t>
  </si>
  <si>
    <t>GIOVANNI 13</t>
  </si>
  <si>
    <t>GIOVANNI 14</t>
  </si>
  <si>
    <t>GIOVANNI 15</t>
  </si>
  <si>
    <t>GIOVANNI 16</t>
  </si>
  <si>
    <t>GIOVANNI 17</t>
  </si>
  <si>
    <t>GIOVANNI 18</t>
  </si>
  <si>
    <t>GIOVANNI 19</t>
  </si>
  <si>
    <t>GIOVANNI 20</t>
  </si>
  <si>
    <t>GIOVANNI 21</t>
  </si>
  <si>
    <t>GIONA 1</t>
  </si>
  <si>
    <t>GIONA 2</t>
  </si>
  <si>
    <t>GIONA 3</t>
  </si>
  <si>
    <t>GIONA 4</t>
  </si>
  <si>
    <t>DANIELE 1</t>
  </si>
  <si>
    <t>DANIELE 2</t>
  </si>
  <si>
    <t>DANIELE 3</t>
  </si>
  <si>
    <t>EZECHIELE 47</t>
  </si>
  <si>
    <t>GEREMIA 1</t>
  </si>
  <si>
    <t>ISAIA 53</t>
  </si>
  <si>
    <t>ECCLESIASTE 12</t>
  </si>
  <si>
    <t>SALMI 149-150</t>
  </si>
  <si>
    <t>SALMI 148</t>
  </si>
  <si>
    <t>SALMI 136</t>
  </si>
  <si>
    <t>SALMI 121</t>
  </si>
  <si>
    <t>SALMI 103</t>
  </si>
  <si>
    <t>SALMI 99-100</t>
  </si>
  <si>
    <t>SALMI 98</t>
  </si>
  <si>
    <t>SALMI 96</t>
  </si>
  <si>
    <t>SALMI 91</t>
  </si>
  <si>
    <t>SALMI 66</t>
  </si>
  <si>
    <t>SALMI 34</t>
  </si>
  <si>
    <t>SALMI 27</t>
  </si>
  <si>
    <t>SALMI 19</t>
  </si>
  <si>
    <t>SALMI 23-24</t>
  </si>
  <si>
    <t>SALMI 4, 8</t>
  </si>
  <si>
    <t>PROVERBI 1:1-9</t>
  </si>
  <si>
    <t>PROVERBI 4:20-27</t>
  </si>
  <si>
    <t>PROVERBI 17:6-9,17</t>
  </si>
  <si>
    <t>GIOBBE</t>
  </si>
  <si>
    <t>GIOBBE 1</t>
  </si>
  <si>
    <t>GIOBBE 2</t>
  </si>
  <si>
    <t>PROVERBI 27:1-10</t>
  </si>
  <si>
    <t>PROFETI</t>
  </si>
  <si>
    <t xml:space="preserve">SALMI E PROVERBI </t>
  </si>
  <si>
    <t>GIOBBE 42</t>
  </si>
  <si>
    <t>OGNI GIORNO PRIMA DI INIZIARE A LEGGERE IL TUO CAPITOLO FAI UNA PICCOLA PREGHIERA</t>
  </si>
  <si>
    <t>ESTER</t>
  </si>
  <si>
    <t>ESTER 2:1-18</t>
  </si>
  <si>
    <t xml:space="preserve">GESU' </t>
  </si>
  <si>
    <t>ROMANI 12</t>
  </si>
  <si>
    <t>1 GIOVANNI  2:3-17</t>
  </si>
  <si>
    <t xml:space="preserve">LA CREAZIONE </t>
  </si>
  <si>
    <t>Clicca sulle Storie e le Potrai Leggere Direttamene sul tuo Dispositivo! 
O Scaricale e Stampale tutte cliccando qui!</t>
  </si>
  <si>
    <t>BUON ANNO🎉</t>
  </si>
  <si>
    <t>ELIA  ED 
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</si>
</sst>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"/>
    <numFmt numFmtId="165" formatCode="mmmm\ yyyy"/>
    <numFmt numFmtId="166" formatCode="mmmm"/>
  </numFmts>
  <fonts count="33">
    <font>
      <sz val="12"/>
      <color theme="1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sz val="10"/>
      <color indexed="63"/>
      <name val="Cambria"/>
      <family val="4"/>
      <scheme val="minor"/>
    </font>
    <font>
      <sz val="10"/>
      <name val="Century Gothic"/>
      <family val="2"/>
    </font>
    <font>
      <b/>
      <sz val="28"/>
      <color theme="1" tint="0.34998626667073579"/>
      <name val="Cambria"/>
      <family val="2"/>
      <scheme val="minor"/>
    </font>
    <font>
      <sz val="28"/>
      <color theme="8" tint="-0.499984740745262"/>
      <name val="Cambria"/>
      <family val="2"/>
      <scheme val="minor"/>
    </font>
    <font>
      <sz val="11"/>
      <color theme="0" tint="-0.499984740745262"/>
      <name val="Cambria"/>
      <family val="2"/>
      <scheme val="minor"/>
    </font>
    <font>
      <u/>
      <sz val="12"/>
      <color theme="10"/>
      <name val="Cambria"/>
      <family val="2"/>
      <scheme val="minor"/>
    </font>
    <font>
      <sz val="40"/>
      <color theme="8"/>
      <name val="Cambria"/>
      <family val="2"/>
      <scheme val="minor"/>
    </font>
    <font>
      <b/>
      <sz val="9"/>
      <color theme="8"/>
      <name val="Cambria"/>
      <family val="2"/>
      <scheme val="minor"/>
    </font>
    <font>
      <sz val="10"/>
      <color theme="9"/>
      <name val="Cambria"/>
      <family val="2"/>
      <scheme val="minor"/>
    </font>
    <font>
      <sz val="11"/>
      <color theme="8"/>
      <name val="Cambria"/>
      <family val="1"/>
      <scheme val="minor"/>
    </font>
    <font>
      <sz val="11"/>
      <color theme="8"/>
      <name val="Cambria"/>
      <family val="2"/>
      <scheme val="minor"/>
    </font>
    <font>
      <sz val="24"/>
      <color theme="8"/>
      <name val="Cambria"/>
      <family val="2"/>
      <scheme val="minor"/>
    </font>
    <font>
      <sz val="40"/>
      <color theme="9"/>
      <name val="A Day in September"/>
    </font>
    <font>
      <sz val="40"/>
      <color rgb="FFFF0000"/>
      <name val="A Day in September"/>
    </font>
    <font>
      <sz val="40"/>
      <color theme="1"/>
      <name val="A Day in September"/>
    </font>
    <font>
      <sz val="40"/>
      <color theme="8" tint="-0.499984740745262"/>
      <name val="A Day in September"/>
    </font>
    <font>
      <sz val="40"/>
      <name val="A Day in September"/>
    </font>
    <font>
      <b/>
      <u/>
      <sz val="40"/>
      <color rgb="FFFFC000"/>
      <name val="A Day in September"/>
    </font>
    <font>
      <b/>
      <u/>
      <sz val="40"/>
      <color rgb="FFFF0000"/>
      <name val="A Day in September"/>
    </font>
    <font>
      <b/>
      <u/>
      <sz val="22"/>
      <color rgb="FFFFC000"/>
      <name val="A Day in September"/>
    </font>
    <font>
      <sz val="22"/>
      <color theme="9"/>
      <name val="A Day in September"/>
    </font>
    <font>
      <sz val="22"/>
      <color rgb="FFC17529"/>
      <name val="A Day in September"/>
    </font>
    <font>
      <sz val="11"/>
      <color theme="1"/>
      <name val="Cambria"/>
      <family val="1"/>
      <scheme val="minor"/>
    </font>
    <font>
      <b/>
      <sz val="22"/>
      <color theme="1"/>
      <name val="A Day in September"/>
    </font>
    <font>
      <sz val="10"/>
      <color theme="1"/>
      <name val="Cambria"/>
      <family val="2"/>
      <scheme val="minor"/>
    </font>
    <font>
      <sz val="38"/>
      <color theme="8"/>
      <name val="Cambria"/>
      <family val="2"/>
      <scheme val="minor"/>
    </font>
    <font>
      <b/>
      <sz val="18"/>
      <color theme="1" tint="4.9989318521683403E-2"/>
      <name val="A Day in September"/>
    </font>
    <font>
      <b/>
      <sz val="22"/>
      <color theme="9"/>
      <name val="A Day in September"/>
    </font>
    <font>
      <sz val="36"/>
      <color theme="8"/>
      <name val="Cambria"/>
      <family val="2"/>
      <scheme val="minor"/>
    </font>
    <font>
      <sz val="34"/>
      <color theme="8"/>
      <name val="Cambri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D1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rgb="FFA19574"/>
      </left>
      <right style="thin">
        <color rgb="FFA19574"/>
      </right>
      <top/>
      <bottom style="thin">
        <color rgb="FFA1957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6">
    <xf numFmtId="0" fontId="0" fillId="0" borderId="0"/>
    <xf numFmtId="0" fontId="2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5" fillId="0" borderId="0" applyNumberFormat="0" applyFill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1"/>
    <xf numFmtId="0" fontId="4" fillId="0" borderId="0" xfId="1" applyFont="1"/>
    <xf numFmtId="166" fontId="6" fillId="0" borderId="0" xfId="0" applyNumberFormat="1" applyFont="1" applyAlignment="1">
      <alignment vertical="center" textRotation="90"/>
    </xf>
    <xf numFmtId="0" fontId="8" fillId="0" borderId="0" xfId="5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166" fontId="0" fillId="0" borderId="0" xfId="0" applyNumberFormat="1"/>
    <xf numFmtId="0" fontId="11" fillId="0" borderId="10" xfId="1" applyFont="1" applyBorder="1" applyAlignment="1">
      <alignment horizontal="center" vertical="top" wrapText="1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164" fontId="12" fillId="0" borderId="11" xfId="1" applyNumberFormat="1" applyFont="1" applyBorder="1" applyAlignment="1">
      <alignment horizontal="left" vertical="top" wrapText="1"/>
    </xf>
    <xf numFmtId="164" fontId="12" fillId="0" borderId="12" xfId="1" applyNumberFormat="1" applyFont="1" applyBorder="1" applyAlignment="1">
      <alignment horizontal="left" vertical="top" wrapText="1"/>
    </xf>
    <xf numFmtId="164" fontId="12" fillId="0" borderId="13" xfId="1" applyNumberFormat="1" applyFont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14" fillId="0" borderId="0" xfId="0" applyFont="1" applyAlignment="1">
      <alignment horizontal="right" vertical="top"/>
    </xf>
    <xf numFmtId="0" fontId="15" fillId="0" borderId="10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center" wrapText="1"/>
    </xf>
    <xf numFmtId="0" fontId="17" fillId="0" borderId="0" xfId="0" applyFont="1"/>
    <xf numFmtId="166" fontId="18" fillId="0" borderId="0" xfId="0" applyNumberFormat="1" applyFont="1" applyAlignment="1">
      <alignment vertical="center" textRotation="90"/>
    </xf>
    <xf numFmtId="0" fontId="19" fillId="0" borderId="0" xfId="1" applyFont="1"/>
    <xf numFmtId="0" fontId="17" fillId="0" borderId="0" xfId="0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10" xfId="5" applyFont="1" applyBorder="1" applyAlignment="1">
      <alignment horizontal="center" vertical="center" wrapText="1"/>
    </xf>
    <xf numFmtId="0" fontId="21" fillId="0" borderId="14" xfId="5" applyFont="1" applyFill="1" applyBorder="1" applyAlignment="1">
      <alignment horizontal="left" vertical="top" wrapText="1"/>
    </xf>
    <xf numFmtId="0" fontId="21" fillId="0" borderId="8" xfId="5" applyFont="1" applyFill="1" applyBorder="1" applyAlignment="1">
      <alignment horizontal="left" vertical="top" wrapText="1"/>
    </xf>
    <xf numFmtId="0" fontId="21" fillId="0" borderId="9" xfId="5" applyFont="1" applyFill="1" applyBorder="1" applyAlignment="1">
      <alignment horizontal="left" vertical="top" wrapText="1"/>
    </xf>
    <xf numFmtId="164" fontId="10" fillId="0" borderId="5" xfId="2" applyNumberFormat="1" applyFont="1" applyFill="1" applyBorder="1" applyAlignment="1">
      <alignment horizontal="left" vertical="center" wrapText="1"/>
    </xf>
    <xf numFmtId="164" fontId="10" fillId="0" borderId="6" xfId="2" applyNumberFormat="1" applyFont="1" applyFill="1" applyBorder="1" applyAlignment="1">
      <alignment horizontal="left" vertical="center" wrapText="1"/>
    </xf>
    <xf numFmtId="164" fontId="10" fillId="0" borderId="7" xfId="2" applyNumberFormat="1" applyFont="1" applyFill="1" applyBorder="1" applyAlignment="1">
      <alignment horizontal="left" vertical="center" wrapText="1"/>
    </xf>
    <xf numFmtId="164" fontId="10" fillId="0" borderId="16" xfId="2" applyNumberFormat="1" applyFont="1" applyFill="1" applyBorder="1" applyAlignment="1">
      <alignment horizontal="left" vertical="center" wrapText="1"/>
    </xf>
    <xf numFmtId="164" fontId="10" fillId="0" borderId="17" xfId="2" applyNumberFormat="1" applyFont="1" applyFill="1" applyBorder="1" applyAlignment="1">
      <alignment horizontal="left" vertical="center" wrapText="1"/>
    </xf>
    <xf numFmtId="164" fontId="10" fillId="0" borderId="18" xfId="2" applyNumberFormat="1" applyFont="1" applyFill="1" applyBorder="1" applyAlignment="1">
      <alignment horizontal="left" vertical="center" wrapText="1"/>
    </xf>
    <xf numFmtId="164" fontId="12" fillId="4" borderId="11" xfId="1" applyNumberFormat="1" applyFont="1" applyFill="1" applyBorder="1" applyAlignment="1">
      <alignment horizontal="left" vertical="top" wrapText="1"/>
    </xf>
    <xf numFmtId="0" fontId="15" fillId="4" borderId="10" xfId="1" applyFont="1" applyFill="1" applyBorder="1" applyAlignment="1">
      <alignment horizontal="center" vertical="center" wrapText="1"/>
    </xf>
    <xf numFmtId="0" fontId="20" fillId="4" borderId="10" xfId="5" applyFont="1" applyFill="1" applyBorder="1" applyAlignment="1">
      <alignment horizontal="center" vertical="center" wrapText="1"/>
    </xf>
    <xf numFmtId="164" fontId="12" fillId="4" borderId="12" xfId="1" applyNumberFormat="1" applyFont="1" applyFill="1" applyBorder="1" applyAlignment="1">
      <alignment horizontal="left" vertical="top" wrapText="1"/>
    </xf>
    <xf numFmtId="0" fontId="22" fillId="0" borderId="10" xfId="5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2" fillId="4" borderId="10" xfId="5" applyFont="1" applyFill="1" applyBorder="1" applyAlignment="1">
      <alignment horizontal="center" vertical="center" wrapText="1"/>
    </xf>
    <xf numFmtId="0" fontId="16" fillId="4" borderId="10" xfId="3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top" wrapText="1"/>
    </xf>
    <xf numFmtId="165" fontId="9" fillId="0" borderId="8" xfId="1" applyNumberFormat="1" applyFont="1" applyBorder="1" applyAlignment="1">
      <alignment horizontal="left" vertical="center"/>
    </xf>
    <xf numFmtId="0" fontId="2" fillId="5" borderId="0" xfId="1" applyFill="1"/>
    <xf numFmtId="164" fontId="25" fillId="5" borderId="11" xfId="1" applyNumberFormat="1" applyFont="1" applyFill="1" applyBorder="1" applyAlignment="1">
      <alignment horizontal="left" vertical="top" wrapText="1"/>
    </xf>
    <xf numFmtId="0" fontId="17" fillId="5" borderId="10" xfId="3" applyFont="1" applyFill="1" applyBorder="1" applyAlignment="1">
      <alignment horizontal="center" vertical="center" wrapText="1"/>
    </xf>
    <xf numFmtId="164" fontId="25" fillId="5" borderId="12" xfId="1" applyNumberFormat="1" applyFont="1" applyFill="1" applyBorder="1" applyAlignment="1">
      <alignment horizontal="left" vertical="top" wrapText="1"/>
    </xf>
    <xf numFmtId="0" fontId="26" fillId="5" borderId="10" xfId="3" applyFont="1" applyFill="1" applyBorder="1" applyAlignment="1">
      <alignment horizontal="center" vertical="center" wrapText="1"/>
    </xf>
    <xf numFmtId="0" fontId="27" fillId="5" borderId="10" xfId="3" applyFont="1" applyFill="1" applyBorder="1" applyAlignment="1">
      <alignment horizontal="center" vertical="center" wrapText="1"/>
    </xf>
    <xf numFmtId="165" fontId="28" fillId="0" borderId="8" xfId="1" applyNumberFormat="1" applyFont="1" applyBorder="1" applyAlignment="1">
      <alignment horizontal="left" vertical="center"/>
    </xf>
    <xf numFmtId="0" fontId="29" fillId="5" borderId="0" xfId="1" applyFont="1" applyFill="1" applyAlignment="1">
      <alignment horizontal="center" vertical="center"/>
    </xf>
    <xf numFmtId="0" fontId="15" fillId="4" borderId="10" xfId="1" applyFont="1" applyFill="1" applyBorder="1" applyAlignment="1">
      <alignment horizontal="center" vertical="top" wrapText="1"/>
    </xf>
    <xf numFmtId="0" fontId="30" fillId="4" borderId="10" xfId="1" applyFont="1" applyFill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164" fontId="25" fillId="4" borderId="11" xfId="1" applyNumberFormat="1" applyFont="1" applyFill="1" applyBorder="1" applyAlignment="1">
      <alignment horizontal="left" vertical="top" wrapText="1"/>
    </xf>
    <xf numFmtId="0" fontId="17" fillId="4" borderId="10" xfId="3" applyFont="1" applyFill="1" applyBorder="1" applyAlignment="1">
      <alignment horizontal="center" vertical="center" wrapText="1"/>
    </xf>
    <xf numFmtId="165" fontId="31" fillId="0" borderId="8" xfId="1" applyNumberFormat="1" applyFont="1" applyBorder="1" applyAlignment="1">
      <alignment horizontal="left" vertical="center"/>
    </xf>
    <xf numFmtId="165" fontId="32" fillId="0" borderId="8" xfId="1" applyNumberFormat="1" applyFont="1" applyBorder="1" applyAlignment="1">
      <alignment horizontal="left" vertical="center"/>
    </xf>
    <xf numFmtId="165" fontId="9" fillId="0" borderId="8" xfId="1" applyNumberFormat="1" applyFont="1" applyBorder="1" applyAlignment="1">
      <alignment horizontal="center" vertical="center"/>
    </xf>
    <xf numFmtId="0" fontId="29" fillId="5" borderId="0" xfId="1" applyFont="1" applyFill="1" applyAlignment="1">
      <alignment vertical="center"/>
    </xf>
  </cellXfs>
  <cellStyles count="6">
    <cellStyle name="40% - Colore 1 2" xfId="3" xr:uid="{00000000-0005-0000-0000-000000000000}"/>
    <cellStyle name="Collegamento ipertestuale" xfId="5" builtinId="8"/>
    <cellStyle name="Colore1 2" xfId="2" xr:uid="{00000000-0005-0000-0000-000002000000}"/>
    <cellStyle name="Normale" xfId="0" builtinId="0" customBuiltin="1"/>
    <cellStyle name="Normale 2" xfId="1" xr:uid="{00000000-0005-0000-0000-000004000000}"/>
    <cellStyle name="Titolo 1 2" xfId="4" xr:uid="{00000000-0005-0000-0000-000005000000}"/>
  </cellStyles>
  <dxfs count="11"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StileTabellaLight7 2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StileTabellaLight9 2" pivot="0" count="4" xr9:uid="{00000000-0011-0000-FFFF-FFFF01000000}">
      <tableStyleElement type="wholeTable" dxfId="3"/>
      <tableStyleElement type="headerRow" dxfId="2"/>
      <tableStyleElement type="totalRow" dxfId="1"/>
      <tableStyleElement type="firstColumn" dxfId="0"/>
    </tableStyle>
  </tableStyles>
  <colors>
    <mruColors>
      <color rgb="FFFF5D12"/>
      <color rgb="FFECEBE3"/>
      <color rgb="FFA19574"/>
      <color rgb="FFFF3D0C"/>
      <color rgb="FFF52D0B"/>
      <color rgb="FFF56031"/>
      <color rgb="FFC17529"/>
      <color rgb="FFFDFDFD"/>
      <color rgb="FFEAE8EA"/>
      <color rgb="FFEAE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AnnoCalendario" max="2999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1508760</xdr:colOff>
          <xdr:row>1</xdr:row>
          <xdr:rowOff>91440</xdr:rowOff>
        </xdr:from>
        <xdr:to>
          <xdr:col>11</xdr:col>
          <xdr:colOff>99060</xdr:colOff>
          <xdr:row>1</xdr:row>
          <xdr:rowOff>320040</xdr:rowOff>
        </xdr:to>
        <xdr:sp macro="" textlink="">
          <xdr:nvSpPr>
            <xdr:cNvPr id="1026" name="Casella di selezione 2" descr="Spinner control. Use spinner to change calendar year or type desired year in cell L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68036</xdr:colOff>
      <xdr:row>3</xdr:row>
      <xdr:rowOff>12700</xdr:rowOff>
    </xdr:from>
    <xdr:to>
      <xdr:col>10</xdr:col>
      <xdr:colOff>12700</xdr:colOff>
      <xdr:row>16</xdr:row>
      <xdr:rowOff>12700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7936" y="1358900"/>
          <a:ext cx="2383064" cy="9855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</xdr:colOff>
      <xdr:row>3</xdr:row>
      <xdr:rowOff>25400</xdr:rowOff>
    </xdr:from>
    <xdr:to>
      <xdr:col>10</xdr:col>
      <xdr:colOff>7515</xdr:colOff>
      <xdr:row>16</xdr:row>
      <xdr:rowOff>12700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4817" y="1378063"/>
          <a:ext cx="2353408" cy="983167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</xdr:colOff>
      <xdr:row>3</xdr:row>
      <xdr:rowOff>25399</xdr:rowOff>
    </xdr:from>
    <xdr:to>
      <xdr:col>10</xdr:col>
      <xdr:colOff>12700</xdr:colOff>
      <xdr:row>15</xdr:row>
      <xdr:rowOff>1394917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4474" y="1378678"/>
          <a:ext cx="2380521" cy="98014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101599</xdr:colOff>
      <xdr:row>3</xdr:row>
      <xdr:rowOff>34324</xdr:rowOff>
    </xdr:from>
    <xdr:to>
      <xdr:col>10</xdr:col>
      <xdr:colOff>14514</xdr:colOff>
      <xdr:row>16</xdr:row>
      <xdr:rowOff>7257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828" y="1391410"/>
          <a:ext cx="2351315" cy="9842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63501</xdr:colOff>
      <xdr:row>3</xdr:row>
      <xdr:rowOff>27214</xdr:rowOff>
    </xdr:from>
    <xdr:to>
      <xdr:col>10</xdr:col>
      <xdr:colOff>0</xdr:colOff>
      <xdr:row>16</xdr:row>
      <xdr:rowOff>12700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5215" y="1378857"/>
          <a:ext cx="2367642" cy="9837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67732</xdr:colOff>
      <xdr:row>3</xdr:row>
      <xdr:rowOff>23962</xdr:rowOff>
    </xdr:from>
    <xdr:to>
      <xdr:col>10</xdr:col>
      <xdr:colOff>7986</xdr:colOff>
      <xdr:row>16</xdr:row>
      <xdr:rowOff>5992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2952" y="1373836"/>
          <a:ext cx="2384405" cy="9846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89122</xdr:colOff>
      <xdr:row>3</xdr:row>
      <xdr:rowOff>35774</xdr:rowOff>
    </xdr:from>
    <xdr:to>
      <xdr:col>9</xdr:col>
      <xdr:colOff>1147757</xdr:colOff>
      <xdr:row>16</xdr:row>
      <xdr:rowOff>8943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3136" y="1386267"/>
          <a:ext cx="2343553" cy="98022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3</xdr:row>
      <xdr:rowOff>22750</xdr:rowOff>
    </xdr:from>
    <xdr:to>
      <xdr:col>10</xdr:col>
      <xdr:colOff>9694</xdr:colOff>
      <xdr:row>16</xdr:row>
      <xdr:rowOff>9696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9705" y="1360613"/>
          <a:ext cx="2368081" cy="9856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89912</xdr:colOff>
      <xdr:row>3</xdr:row>
      <xdr:rowOff>17638</xdr:rowOff>
    </xdr:from>
    <xdr:to>
      <xdr:col>10</xdr:col>
      <xdr:colOff>8820</xdr:colOff>
      <xdr:row>16</xdr:row>
      <xdr:rowOff>11239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4981" y="1358194"/>
          <a:ext cx="2370714" cy="98449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63499</xdr:colOff>
      <xdr:row>3</xdr:row>
      <xdr:rowOff>21896</xdr:rowOff>
    </xdr:from>
    <xdr:to>
      <xdr:col>10</xdr:col>
      <xdr:colOff>7298</xdr:colOff>
      <xdr:row>16</xdr:row>
      <xdr:rowOff>12700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6028" y="1364885"/>
          <a:ext cx="2381615" cy="98223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3</xdr:row>
      <xdr:rowOff>27214</xdr:rowOff>
    </xdr:from>
    <xdr:to>
      <xdr:col>10</xdr:col>
      <xdr:colOff>9072</xdr:colOff>
      <xdr:row>16</xdr:row>
      <xdr:rowOff>9072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7914" y="1378857"/>
          <a:ext cx="2364015" cy="9833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3</xdr:row>
      <xdr:rowOff>20320</xdr:rowOff>
    </xdr:from>
    <xdr:to>
      <xdr:col>10</xdr:col>
      <xdr:colOff>10160</xdr:colOff>
      <xdr:row>16</xdr:row>
      <xdr:rowOff>12700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0700" y="1381760"/>
          <a:ext cx="2385060" cy="989838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Custom 1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J5MhF8daU4hdx6Kpu-n_Kikse7gg?e=VvYqfj" TargetMode="External"/><Relationship Id="rId13" Type="http://schemas.openxmlformats.org/officeDocument/2006/relationships/ctrlProp" Target="../ctrlProps/ctrlProp1.xml"/><Relationship Id="rId3" Type="http://schemas.openxmlformats.org/officeDocument/2006/relationships/hyperlink" Target="https://1drv.ms/b/s!AqJ5MhF8daU4hdx7SJisMKwy3mLEHA?e=WLpyj5" TargetMode="External"/><Relationship Id="rId7" Type="http://schemas.openxmlformats.org/officeDocument/2006/relationships/hyperlink" Target="https://1drv.ms/b/s!AqJ5MhF8daU4hdx6Kpu-n_Kikse7gg?e=VvYqfj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1drv.ms/b/s!AqJ5MhF8daU4hd1S7SBTxSoJjp3uaw?e=Rfkhym" TargetMode="External"/><Relationship Id="rId1" Type="http://schemas.openxmlformats.org/officeDocument/2006/relationships/hyperlink" Target="https://1drv.ms/b/s!AqJ5MhF8daU4hdx8cB1FjBuY0HwjJQ?e=3gPvbx" TargetMode="External"/><Relationship Id="rId6" Type="http://schemas.openxmlformats.org/officeDocument/2006/relationships/hyperlink" Target="https://1drv.ms/b/s!AqJ5MhF8daU4hdx2oQI491SEsfOWuQ?e=nanr8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1drv.ms/b/s!AqJ5MhF8daU4hdx8cB1FjBuY0HwjJQ?e=3gPvbx" TargetMode="External"/><Relationship Id="rId10" Type="http://schemas.openxmlformats.org/officeDocument/2006/relationships/customProperty" Target="../customProperty1.bin"/><Relationship Id="rId4" Type="http://schemas.openxmlformats.org/officeDocument/2006/relationships/hyperlink" Target="https://1drv.ms/b/s!AqJ5MhF8daU4hdskQG2T1Z7mHwYScQ?e=egKgJf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1drv.ms/b/s!AqJ5MhF8daU4hd1S7SBTxSoJjp3uaw?e=Rfkhy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1drv.ms/b/s!AqJ5MhF8daU4hd1S7SBTxSoJjp3uaw?e=Rfkhym" TargetMode="External"/><Relationship Id="rId1" Type="http://schemas.openxmlformats.org/officeDocument/2006/relationships/hyperlink" Target="https://1drv.ms/b/s!AqJ5MhF8daU4hd1S7SBTxSoJjp3uaw?e=Rfkhym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qJ5MhF8daU4hd0qctlXtw_BhsMRhw?e=4Ba8XX" TargetMode="External"/><Relationship Id="rId2" Type="http://schemas.openxmlformats.org/officeDocument/2006/relationships/hyperlink" Target="https://1drv.ms/b/s!AqJ5MhF8daU4hd0hBI2r5TquBQ4xiw?e=wHgpDM" TargetMode="External"/><Relationship Id="rId1" Type="http://schemas.openxmlformats.org/officeDocument/2006/relationships/hyperlink" Target="https://1drv.ms/b/s!AqJ5MhF8daU4hd1S7SBTxSoJjp3uaw?e=Rfkhym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1drv.ms/b/s!AqJ5MhF8daU4hd0pKSVJa3TwLqxH7Q?e=WGqww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qJ5MhF8daU4hdx3s5lzDywg8nCxgg?e=dOJpwo" TargetMode="External"/><Relationship Id="rId2" Type="http://schemas.openxmlformats.org/officeDocument/2006/relationships/hyperlink" Target="https://1drv.ms/b/s!AqJ5MhF8daU4hdxw8fbMhRZCDF4yXw?e=3mVG5a" TargetMode="External"/><Relationship Id="rId1" Type="http://schemas.openxmlformats.org/officeDocument/2006/relationships/hyperlink" Target="https://1drv.ms/b/s!AqJ5MhF8daU4hd1S7SBTxSoJjp3uaw?e=Rfkhy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1drv.ms/b/s!AqJ5MhF8daU4hdx0QWcl3LUea8OwYw?e=kD3PZ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1drv.ms/b/s!AqJ5MhF8daU4hdx4AG1bXDPjw0PRVA?e=Wc8Mnm" TargetMode="External"/><Relationship Id="rId1" Type="http://schemas.openxmlformats.org/officeDocument/2006/relationships/hyperlink" Target="https://1drv.ms/b/s!AqJ5MhF8daU4hd1S7SBTxSoJjp3uaw?e=Rfkhy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qJ5MhF8daU4hdxzTF_u4P98pm7Vhw?e=GrCBZT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1drv.ms/b/s!AqJ5MhF8daU4hdxzTF_u4P98pm7Vhw?e=GrCBZT" TargetMode="External"/><Relationship Id="rId1" Type="http://schemas.openxmlformats.org/officeDocument/2006/relationships/hyperlink" Target="https://1drv.ms/b/s!AqJ5MhF8daU4hd1S7SBTxSoJjp3uaw?e=Rfkhy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1drv.ms/b/s!AqJ5MhF8daU4hdxyrX54T9pr8N1dZA?e=mFZ7bg" TargetMode="External"/><Relationship Id="rId4" Type="http://schemas.openxmlformats.org/officeDocument/2006/relationships/hyperlink" Target="https://1drv.ms/b/s!AqJ5MhF8daU4hdxxBSCot33b_QiOJA?e=RhEIZ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1drv.ms/b/s!AqJ5MhF8daU4hd0fXn737jyRhzwrcQ?e=PVqoYl" TargetMode="External"/><Relationship Id="rId7" Type="http://schemas.openxmlformats.org/officeDocument/2006/relationships/hyperlink" Target="https://1drv.ms/b/s!AqJ5MhF8daU4hd0ibGdKh4BK-2qnFg?e=yrxWEh" TargetMode="External"/><Relationship Id="rId2" Type="http://schemas.openxmlformats.org/officeDocument/2006/relationships/hyperlink" Target="https://1drv.ms/b/s!AqJ5MhF8daU4hd1Muz4cO7rFfS8RBQ?e=9hQoD9" TargetMode="External"/><Relationship Id="rId1" Type="http://schemas.openxmlformats.org/officeDocument/2006/relationships/hyperlink" Target="https://1drv.ms/b/s!AqJ5MhF8daU4hd1S7SBTxSoJjp3uaw?e=Rfkhym" TargetMode="External"/><Relationship Id="rId6" Type="http://schemas.openxmlformats.org/officeDocument/2006/relationships/hyperlink" Target="https://1drv.ms/b/s!AqJ5MhF8daU4hd1Muz4cO7rFfS8RBQ?e=9hQoD9" TargetMode="External"/><Relationship Id="rId5" Type="http://schemas.openxmlformats.org/officeDocument/2006/relationships/hyperlink" Target="https://1drv.ms/b/s!AqJ5MhF8daU4hd0gq3Bd_k-atiCzsQ?e=Q5bAys" TargetMode="External"/><Relationship Id="rId4" Type="http://schemas.openxmlformats.org/officeDocument/2006/relationships/hyperlink" Target="https://1drv.ms/b/s!AqJ5MhF8daU4hd0ccdqBHJNU79PW7g?e=9avaDF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1drv.ms/b/s!AqJ5MhF8daU4hd1S7SBTxSoJjp3uaw?e=Rfkhy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qJ5MhF8daU4hd1Nw86brmZJelyLLw?e=ctsugO" TargetMode="External"/><Relationship Id="rId2" Type="http://schemas.openxmlformats.org/officeDocument/2006/relationships/hyperlink" Target="https://1drv.ms/b/s!AqJ5MhF8daU4hd0nVizr4hfYwiNYFQ?e=NfAq7l" TargetMode="External"/><Relationship Id="rId1" Type="http://schemas.openxmlformats.org/officeDocument/2006/relationships/hyperlink" Target="https://1drv.ms/b/s!AqJ5MhF8daU4hd1S7SBTxSoJjp3uaw?e=Rfkhym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1drv.ms/b/s!AqJ5MhF8daU4hd1S7SBTxSoJjp3uaw?e=Rfkhy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1drv.ms/b/s!AqJ5MhF8daU4hd1S7SBTxSoJjp3uaw?e=Rfkh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A1:R20"/>
  <sheetViews>
    <sheetView showGridLines="0" tabSelected="1" zoomScale="67" zoomScaleNormal="100" workbookViewId="0">
      <selection activeCell="D3" sqref="D3:J3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17.8164062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K1" s="15" t="s">
        <v>8</v>
      </c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  <c r="K2" s="16">
        <v>2025</v>
      </c>
    </row>
    <row r="3" spans="1:18" ht="62.25" customHeight="1">
      <c r="A3"/>
      <c r="B3" s="45" t="str">
        <f>UPPER(TEXT(DATE(AnnoCalendario,1,1),"mmmm aaaa"))</f>
        <v>GENNAIO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IF(DAY(GenDom1)=1,"",IF(AND(YEAR(GenDom1+1)=AnnoCalendario,MONTH(GenDom1+1)=1),GenDom1+1,""))</f>
        <v/>
      </c>
      <c r="C5" s="34" t="str">
        <f>IF(DAY(GenDom1)=1,"",IF(AND(YEAR(GenDom1+2)=AnnoCalendario,MONTH(GenDom1+2)=1),GenDom1+2,""))</f>
        <v/>
      </c>
      <c r="D5" s="47">
        <f>IF(DAY(GenDom1)=1,"",IF(AND(YEAR(GenDom1+3)=AnnoCalendario,MONTH(GenDom1+3)=1),GenDom1+3,""))</f>
        <v>45658</v>
      </c>
      <c r="E5" s="34">
        <f>IF(DAY(GenDom1)=1,"",IF(AND(YEAR(GenDom1+4)=AnnoCalendario,MONTH(GenDom1+4)=1),GenDom1+4,""))</f>
        <v>45659</v>
      </c>
      <c r="F5" s="34">
        <f>IF(DAY(GenDom1)=1,"",IF(AND(YEAR(GenDom1+5)=AnnoCalendario,MONTH(GenDom1+5)=1),GenDom1+5,""))</f>
        <v>45660</v>
      </c>
      <c r="G5" s="47">
        <f>IF(DAY(GenDom1)=1,"",IF(AND(YEAR(GenDom1+6)=AnnoCalendario,MONTH(GenDom1+6)=1),GenDom1+6,""))</f>
        <v>45661</v>
      </c>
      <c r="H5" s="47">
        <f>IF(DAY(GenDom1)=1,IF(AND(YEAR(GenDom1)=AnnoCalendario,MONTH(GenDom1)=1),GenDom1,""),IF(AND(YEAR(GenDom1+7)=AnnoCalendario,MONTH(GenDom1+7)=1),GenDom1+7,""))</f>
        <v>45662</v>
      </c>
      <c r="I5" s="3"/>
      <c r="K5" s="1"/>
      <c r="L5" s="1"/>
      <c r="M5" s="1"/>
      <c r="Q5" s="2"/>
      <c r="R5" s="1"/>
    </row>
    <row r="6" spans="1:18" s="2" customFormat="1" ht="109.95" customHeight="1">
      <c r="A6"/>
      <c r="B6" s="24"/>
      <c r="C6" s="18"/>
      <c r="D6" s="50" t="s">
        <v>270</v>
      </c>
      <c r="E6" s="38" t="s">
        <v>268</v>
      </c>
      <c r="F6" s="39" t="s">
        <v>9</v>
      </c>
      <c r="G6" s="48" t="s">
        <v>37</v>
      </c>
      <c r="H6" s="48" t="s">
        <v>37</v>
      </c>
      <c r="I6" s="3"/>
    </row>
    <row r="7" spans="1:18" ht="15" customHeight="1">
      <c r="A7"/>
      <c r="B7" s="12">
        <f>IF(DAY(GenDom1)=1,IF(AND(YEAR(GenDom1+1)=AnnoCalendario,MONTH(GenDom1+1)=1),GenDom1+1,""),IF(AND(YEAR(GenDom1+8)=AnnoCalendario,MONTH(GenDom1+8)=1),GenDom1+8,""))</f>
        <v>45663</v>
      </c>
      <c r="C7" s="12">
        <f>IF(DAY(GenDom1)=1,IF(AND(YEAR(GenDom1+2)=AnnoCalendario,MONTH(GenDom1+2)=1),GenDom1+2,""),IF(AND(YEAR(GenDom1+9)=AnnoCalendario,MONTH(GenDom1+9)=1),GenDom1+9,""))</f>
        <v>45664</v>
      </c>
      <c r="D7" s="12">
        <f>IF(DAY(GenDom1)=1,IF(AND(YEAR(GenDom1+3)=AnnoCalendario,MONTH(GenDom1+3)=1),GenDom1+3,""),IF(AND(YEAR(GenDom1+10)=AnnoCalendario,MONTH(GenDom1+10)=1),GenDom1+10,""))</f>
        <v>45665</v>
      </c>
      <c r="E7" s="12">
        <f>IF(DAY(GenDom1)=1,IF(AND(YEAR(GenDom1+4)=AnnoCalendario,MONTH(GenDom1+4)=1),GenDom1+4,""),IF(AND(YEAR(GenDom1+11)=AnnoCalendario,MONTH(GenDom1+11)=1),GenDom1+11,""))</f>
        <v>45666</v>
      </c>
      <c r="F7" s="12">
        <f>IF(DAY(GenDom1)=1,IF(AND(YEAR(GenDom1+5)=AnnoCalendario,MONTH(GenDom1+5)=1),GenDom1+5,""),IF(AND(YEAR(GenDom1+12)=AnnoCalendario,MONTH(GenDom1+12)=1),GenDom1+12,""))</f>
        <v>45667</v>
      </c>
      <c r="G7" s="47">
        <f>IF(DAY(GenDom1)=1,IF(AND(YEAR(GenDom1+6)=AnnoCalendario,MONTH(GenDom1+6)=1),GenDom1+6,""),IF(AND(YEAR(GenDom1+13)=AnnoCalendario,MONTH(GenDom1+13)=1),GenDom1+13,""))</f>
        <v>45668</v>
      </c>
      <c r="H7" s="47">
        <f>IF(DAY(GenDom1)=1,IF(AND(YEAR(GenDom1+7)=AnnoCalendario,MONTH(GenDom1+7)=1),GenDom1+7,""),IF(AND(YEAR(GenDom1+14)=AnnoCalendario,MONTH(GenDom1+14)=1),GenDom1+14,""))</f>
        <v>45669</v>
      </c>
      <c r="I7" s="3"/>
    </row>
    <row r="8" spans="1:18" ht="109.95" customHeight="1">
      <c r="A8"/>
      <c r="B8" s="39" t="s">
        <v>10</v>
      </c>
      <c r="C8" s="38" t="s">
        <v>12</v>
      </c>
      <c r="D8" s="40" t="s">
        <v>11</v>
      </c>
      <c r="E8" s="41" t="s">
        <v>13</v>
      </c>
      <c r="F8" s="42" t="s">
        <v>14</v>
      </c>
      <c r="G8" s="48" t="s">
        <v>37</v>
      </c>
      <c r="H8" s="48" t="s">
        <v>37</v>
      </c>
      <c r="I8" s="3"/>
    </row>
    <row r="9" spans="1:18" ht="15" customHeight="1">
      <c r="A9"/>
      <c r="B9" s="37">
        <f>IF(DAY(GenDom1)=1,IF(AND(YEAR(GenDom1+8)=AnnoCalendario,MONTH(GenDom1+8)=1),GenDom1+8,""),IF(AND(YEAR(GenDom1+15)=AnnoCalendario,MONTH(GenDom1+15)=1),GenDom1+15,""))</f>
        <v>45670</v>
      </c>
      <c r="C9" s="37">
        <f>IF(DAY(GenDom1)=1,IF(AND(YEAR(GenDom1+9)=AnnoCalendario,MONTH(GenDom1+9)=1),GenDom1+9,""),IF(AND(YEAR(GenDom1+16)=AnnoCalendario,MONTH(GenDom1+16)=1),GenDom1+16,""))</f>
        <v>45671</v>
      </c>
      <c r="D9" s="37">
        <f>IF(DAY(GenDom1)=1,IF(AND(YEAR(GenDom1+10)=AnnoCalendario,MONTH(GenDom1+10)=1),GenDom1+10,""),IF(AND(YEAR(GenDom1+17)=AnnoCalendario,MONTH(GenDom1+17)=1),GenDom1+17,""))</f>
        <v>45672</v>
      </c>
      <c r="E9" s="37">
        <f>IF(DAY(GenDom1)=1,IF(AND(YEAR(GenDom1+11)=AnnoCalendario,MONTH(GenDom1+11)=1),GenDom1+11,""),IF(AND(YEAR(GenDom1+18)=AnnoCalendario,MONTH(GenDom1+18)=1),GenDom1+18,""))</f>
        <v>45673</v>
      </c>
      <c r="F9" s="37">
        <f>IF(DAY(GenDom1)=1,IF(AND(YEAR(GenDom1+12)=AnnoCalendario,MONTH(GenDom1+12)=1),GenDom1+12,""),IF(AND(YEAR(GenDom1+19)=AnnoCalendario,MONTH(GenDom1+19)=1),GenDom1+19,""))</f>
        <v>45674</v>
      </c>
      <c r="G9" s="49">
        <f>IF(DAY(GenDom1)=1,IF(AND(YEAR(GenDom1+13)=AnnoCalendario,MONTH(GenDom1+13)=1),GenDom1+13,""),IF(AND(YEAR(GenDom1+20)=AnnoCalendario,MONTH(GenDom1+20)=1),GenDom1+20,""))</f>
        <v>45675</v>
      </c>
      <c r="H9" s="49">
        <f>IF(DAY(GenDom1)=1,IF(AND(YEAR(GenDom1+14)=AnnoCalendario,MONTH(GenDom1+14)=1),GenDom1+14,""),IF(AND(YEAR(GenDom1+21)=AnnoCalendario,MONTH(GenDom1+21)=1),GenDom1+21,""))</f>
        <v>45676</v>
      </c>
      <c r="I9" s="3"/>
    </row>
    <row r="10" spans="1:18" ht="109.95" customHeight="1">
      <c r="A10"/>
      <c r="B10" s="41" t="s">
        <v>15</v>
      </c>
      <c r="C10" s="41" t="s">
        <v>16</v>
      </c>
      <c r="D10" s="41" t="s">
        <v>17</v>
      </c>
      <c r="E10" s="39" t="s">
        <v>18</v>
      </c>
      <c r="F10" s="38" t="s">
        <v>19</v>
      </c>
      <c r="G10" s="48" t="s">
        <v>37</v>
      </c>
      <c r="H10" s="48" t="s">
        <v>37</v>
      </c>
      <c r="I10" s="3"/>
    </row>
    <row r="11" spans="1:18" ht="15" customHeight="1">
      <c r="A11"/>
      <c r="B11" s="13">
        <f>IF(DAY(GenDom1)=1,IF(AND(YEAR(GenDom1+15)=AnnoCalendario,MONTH(GenDom1+15)=1),GenDom1+15,""),IF(AND(YEAR(GenDom1+22)=AnnoCalendario,MONTH(GenDom1+22)=1),GenDom1+22,""))</f>
        <v>45677</v>
      </c>
      <c r="C11" s="13">
        <f>IF(DAY(GenDom1)=1,IF(AND(YEAR(GenDom1+16)=AnnoCalendario,MONTH(GenDom1+16)=1),GenDom1+16,""),IF(AND(YEAR(GenDom1+23)=AnnoCalendario,MONTH(GenDom1+23)=1),GenDom1+23,""))</f>
        <v>45678</v>
      </c>
      <c r="D11" s="13">
        <f>IF(DAY(GenDom1)=1,IF(AND(YEAR(GenDom1+17)=AnnoCalendario,MONTH(GenDom1+17)=1),GenDom1+17,""),IF(AND(YEAR(GenDom1+24)=AnnoCalendario,MONTH(GenDom1+24)=1),GenDom1+24,""))</f>
        <v>45679</v>
      </c>
      <c r="E11" s="13">
        <f>IF(DAY(GenDom1)=1,IF(AND(YEAR(GenDom1+18)=AnnoCalendario,MONTH(GenDom1+18)=1),GenDom1+18,""),IF(AND(YEAR(GenDom1+25)=AnnoCalendario,MONTH(GenDom1+25)=1),GenDom1+25,""))</f>
        <v>45680</v>
      </c>
      <c r="F11" s="13">
        <f>IF(DAY(GenDom1)=1,IF(AND(YEAR(GenDom1+19)=AnnoCalendario,MONTH(GenDom1+19)=1),GenDom1+19,""),IF(AND(YEAR(GenDom1+26)=AnnoCalendario,MONTH(GenDom1+26)=1),GenDom1+26,""))</f>
        <v>45681</v>
      </c>
      <c r="G11" s="49">
        <f>IF(DAY(GenDom1)=1,IF(AND(YEAR(GenDom1+20)=AnnoCalendario,MONTH(GenDom1+20)=1),GenDom1+20,""),IF(AND(YEAR(GenDom1+27)=AnnoCalendario,MONTH(GenDom1+27)=1),GenDom1+27,""))</f>
        <v>45682</v>
      </c>
      <c r="H11" s="49">
        <f>IF(DAY(GenDom1)=1,IF(AND(YEAR(GenDom1+21)=AnnoCalendario,MONTH(GenDom1+21)=1),GenDom1+21,""),IF(AND(YEAR(GenDom1+28)=AnnoCalendario,MONTH(GenDom1+28)=1),GenDom1+28,""))</f>
        <v>45683</v>
      </c>
      <c r="I11" s="3"/>
    </row>
    <row r="12" spans="1:18" ht="109.95" customHeight="1">
      <c r="A12"/>
      <c r="B12" s="39" t="s">
        <v>20</v>
      </c>
      <c r="C12" s="38" t="s">
        <v>40</v>
      </c>
      <c r="D12" s="39" t="s">
        <v>21</v>
      </c>
      <c r="E12" s="41" t="s">
        <v>26</v>
      </c>
      <c r="F12" s="41" t="s">
        <v>22</v>
      </c>
      <c r="G12" s="48" t="s">
        <v>37</v>
      </c>
      <c r="H12" s="48" t="s">
        <v>37</v>
      </c>
      <c r="I12" s="3"/>
    </row>
    <row r="13" spans="1:18" ht="15" customHeight="1">
      <c r="A13"/>
      <c r="B13" s="37">
        <f>IF(DAY(GenDom1)=1,IF(AND(YEAR(GenDom1+22)=AnnoCalendario,MONTH(GenDom1+22)=1),GenDom1+22,""),IF(AND(YEAR(GenDom1+29)=AnnoCalendario,MONTH(GenDom1+29)=1),GenDom1+29,""))</f>
        <v>45684</v>
      </c>
      <c r="C13" s="37">
        <f>IF(DAY(GenDom1)=1,IF(AND(YEAR(GenDom1+23)=AnnoCalendario,MONTH(GenDom1+23)=1),GenDom1+23,""),IF(AND(YEAR(GenDom1+30)=AnnoCalendario,MONTH(GenDom1+30)=1),GenDom1+30,""))</f>
        <v>45685</v>
      </c>
      <c r="D13" s="37">
        <f>IF(DAY(GenDom1)=1,IF(AND(YEAR(GenDom1+24)=AnnoCalendario,MONTH(GenDom1+24)=1),GenDom1+24,""),IF(AND(YEAR(GenDom1+31)=AnnoCalendario,MONTH(GenDom1+31)=1),GenDom1+31,""))</f>
        <v>45686</v>
      </c>
      <c r="E13" s="37">
        <f>IF(DAY(GenDom1)=1,IF(AND(YEAR(GenDom1+25)=AnnoCalendario,MONTH(GenDom1+25)=1),GenDom1+25,""),IF(AND(YEAR(GenDom1+32)=AnnoCalendario,MONTH(GenDom1+32)=1),GenDom1+32,""))</f>
        <v>45687</v>
      </c>
      <c r="F13" s="37">
        <f>IF(DAY(GenDom1)=1,IF(AND(YEAR(GenDom1+26)=AnnoCalendario,MONTH(GenDom1+26)=1),GenDom1+26,""),IF(AND(YEAR(GenDom1+33)=AnnoCalendario,MONTH(GenDom1+33)=1),GenDom1+33,""))</f>
        <v>45688</v>
      </c>
      <c r="G13" s="37" t="str">
        <f>IF(DAY(GenDom1)=1,IF(AND(YEAR(GenDom1+27)=AnnoCalendario,MONTH(GenDom1+27)=1),GenDom1+27,""),IF(AND(YEAR(GenDom1+34)=AnnoCalendario,MONTH(GenDom1+34)=1),GenDom1+34,""))</f>
        <v/>
      </c>
      <c r="H13" s="37" t="str">
        <f>IF(DAY(GenDom1)=1,IF(AND(YEAR(GenDom1+28)=AnnoCalendario,MONTH(GenDom1+28)=1),GenDom1+28,""),IF(AND(YEAR(GenDom1+35)=AnnoCalendario,MONTH(GenDom1+35)=1),GenDom1+35,""))</f>
        <v/>
      </c>
      <c r="I13" s="3"/>
    </row>
    <row r="14" spans="1:18" ht="109.95" customHeight="1">
      <c r="A14"/>
      <c r="B14" s="41" t="s">
        <v>23</v>
      </c>
      <c r="C14" s="41" t="s">
        <v>24</v>
      </c>
      <c r="D14" s="41" t="s">
        <v>25</v>
      </c>
      <c r="E14" s="38" t="s">
        <v>27</v>
      </c>
      <c r="F14" s="39" t="s">
        <v>28</v>
      </c>
      <c r="G14" s="43"/>
      <c r="H14" s="43"/>
      <c r="I14" s="3"/>
    </row>
    <row r="15" spans="1:18" ht="15" customHeight="1">
      <c r="A15"/>
      <c r="B15" s="13" t="str">
        <f>IF(DAY(GenDom1)=1,IF(AND(YEAR(GenDom1+29)=AnnoCalendario,MONTH(GenDom1+29)=1),GenDom1+29,""),IF(AND(YEAR(GenDom1+36)=AnnoCalendario,MONTH(GenDom1+36)=1),GenDom1+36,""))</f>
        <v/>
      </c>
      <c r="C15" s="14" t="str">
        <f>IF(DAY(GenDom1)=1,IF(AND(YEAR(GenDom1+30)=AnnoCalendario,MONTH(GenDom1+30)=1),GenDom1+30,""),IF(AND(YEAR(GenDom1+37)=AnnoCalendario,MONTH(GenDom1+37)=1),GenDom1+37,""))</f>
        <v/>
      </c>
      <c r="D15" s="28" t="s">
        <v>3</v>
      </c>
      <c r="E15" s="29"/>
      <c r="F15" s="29"/>
      <c r="G15" s="29"/>
      <c r="H15" s="30"/>
      <c r="I15" s="3"/>
    </row>
    <row r="16" spans="1:18" ht="109.95" customHeight="1">
      <c r="A16"/>
      <c r="B16" s="24"/>
      <c r="C16" s="18"/>
      <c r="D16" s="25" t="s">
        <v>269</v>
      </c>
      <c r="E16" s="26"/>
      <c r="F16" s="26"/>
      <c r="G16" s="26"/>
      <c r="H16" s="27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B3:C3"/>
    <mergeCell ref="D16:H16"/>
    <mergeCell ref="D15:H15"/>
    <mergeCell ref="D3:J3"/>
  </mergeCells>
  <hyperlinks>
    <hyperlink ref="C10" r:id="rId1" display="NOE' E IL DILUVIO" xr:uid="{DCD7429C-2861-4C4D-BF2C-A0CE5226D0AF}"/>
    <hyperlink ref="D16:H16" r:id="rId2" display="https://1drv.ms/b/s!AqJ5MhF8daU4hd1S7SBTxSoJjp3uaw?e=Rfkhym" xr:uid="{A1507E68-4098-E74F-AC28-C8902DE948B3}"/>
    <hyperlink ref="E6" r:id="rId3" xr:uid="{3621DF46-C460-4CB8-B0E7-3A7389C3CE0D}"/>
    <hyperlink ref="C8" r:id="rId4" xr:uid="{2AEFD5BB-C65F-488D-A48B-5714D5337145}"/>
    <hyperlink ref="F8" r:id="rId5" xr:uid="{E36BDC3B-389E-435E-B671-4DFA90470797}"/>
    <hyperlink ref="F10" r:id="rId6" xr:uid="{4F45251B-B090-4142-BEBB-E9D674B0DF27}"/>
    <hyperlink ref="C12" r:id="rId7" display="SODOMA E GOMORRA" xr:uid="{4F40CCE1-63C5-4809-8C0D-23763B2D0AFD}"/>
    <hyperlink ref="E14" r:id="rId8" xr:uid="{E150FE55-A361-4D56-8C89-9CDEBE4D847B}"/>
  </hyperlinks>
  <printOptions horizontalCentered="1" verticalCentered="1"/>
  <pageMargins left="0.19685039370078741" right="0.19685039370078741" top="0.23622047244094491" bottom="0.23622047244094491" header="0" footer="0"/>
  <pageSetup paperSize="9" scale="98" orientation="landscape" r:id="rId9"/>
  <headerFooter scaleWithDoc="0" alignWithMargins="0"/>
  <customProperties>
    <customPr name="SheetChanged" r:id="rId10"/>
  </customProperties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3" name="Casella di selezione 2">
              <controlPr defaultSize="0" autoPict="0" altText="Spinner control. Use spinner to change calendar year or type desired year in cell L2">
                <anchor moveWithCells="1">
                  <from>
                    <xdr:col>10</xdr:col>
                    <xdr:colOff>1508760</xdr:colOff>
                    <xdr:row>1</xdr:row>
                    <xdr:rowOff>91440</xdr:rowOff>
                  </from>
                  <to>
                    <xdr:col>11</xdr:col>
                    <xdr:colOff>99060</xdr:colOff>
                    <xdr:row>1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R20"/>
  <sheetViews>
    <sheetView showGridLines="0" topLeftCell="A12" zoomScale="75" zoomScaleNormal="100" workbookViewId="0">
      <selection activeCell="D15" sqref="D15:H15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UPPER(TEXT(DATE(AnnoCalendario,10,1),"mmmm aaaa"))</f>
        <v>OTTOBRE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IF(DAY(OttDom1)=1,"",IF(AND(YEAR(OttDom1+1)=AnnoCalendario,MONTH(OttDom1+1)=10),OttDom1+1,""))</f>
        <v/>
      </c>
      <c r="C5" s="34" t="str">
        <f>IF(DAY(OttDom1)=1,"",IF(AND(YEAR(OttDom1+2)=AnnoCalendario,MONTH(OttDom1+2)=10),OttDom1+2,""))</f>
        <v/>
      </c>
      <c r="D5" s="34">
        <f>IF(DAY(OttDom1)=1,"",IF(AND(YEAR(OttDom1+3)=AnnoCalendario,MONTH(OttDom1+3)=10),OttDom1+3,""))</f>
        <v>45931</v>
      </c>
      <c r="E5" s="34">
        <f>IF(DAY(OttDom1)=1,"",IF(AND(YEAR(OttDom1+4)=AnnoCalendario,MONTH(OttDom1+4)=10),OttDom1+4,""))</f>
        <v>45932</v>
      </c>
      <c r="F5" s="34">
        <f>IF(DAY(OttDom1)=1,"",IF(AND(YEAR(OttDom1+5)=AnnoCalendario,MONTH(OttDom1+5)=10),OttDom1+5,""))</f>
        <v>45933</v>
      </c>
      <c r="G5" s="47">
        <f>IF(DAY(OttDom1)=1,"",IF(AND(YEAR(OttDom1+6)=AnnoCalendario,MONTH(OttDom1+6)=10),OttDom1+6,""))</f>
        <v>45934</v>
      </c>
      <c r="H5" s="47">
        <f>IF(DAY(OttDom1)=1,IF(AND(YEAR(OttDom1)=AnnoCalendario,MONTH(OttDom1)=10),OttDom1,""),IF(AND(YEAR(OttDom1+7)=AnnoCalendario,MONTH(OttDom1+7)=10),OttDom1+7,""))</f>
        <v>45935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35"/>
      <c r="C6" s="35"/>
      <c r="D6" s="55" t="s">
        <v>184</v>
      </c>
      <c r="E6" s="55" t="s">
        <v>185</v>
      </c>
      <c r="F6" s="55" t="s">
        <v>186</v>
      </c>
      <c r="G6" s="48"/>
      <c r="H6" s="48" t="s">
        <v>37</v>
      </c>
      <c r="I6" s="20"/>
    </row>
    <row r="7" spans="1:18" ht="15" customHeight="1">
      <c r="A7"/>
      <c r="B7" s="34">
        <f>IF(DAY(OttDom1)=1,IF(AND(YEAR(OttDom1+1)=AnnoCalendario,MONTH(OttDom1+1)=10),OttDom1+1,""),IF(AND(YEAR(OttDom1+8)=AnnoCalendario,MONTH(OttDom1+8)=10),OttDom1+8,""))</f>
        <v>45936</v>
      </c>
      <c r="C7" s="34">
        <f>IF(DAY(OttDom1)=1,IF(AND(YEAR(OttDom1+2)=AnnoCalendario,MONTH(OttDom1+2)=10),OttDom1+2,""),IF(AND(YEAR(OttDom1+9)=AnnoCalendario,MONTH(OttDom1+9)=10),OttDom1+9,""))</f>
        <v>45937</v>
      </c>
      <c r="D7" s="34">
        <f>IF(DAY(OttDom1)=1,IF(AND(YEAR(OttDom1+3)=AnnoCalendario,MONTH(OttDom1+3)=10),OttDom1+3,""),IF(AND(YEAR(OttDom1+10)=AnnoCalendario,MONTH(OttDom1+10)=10),OttDom1+10,""))</f>
        <v>45938</v>
      </c>
      <c r="E7" s="34">
        <f>IF(DAY(OttDom1)=1,IF(AND(YEAR(OttDom1+4)=AnnoCalendario,MONTH(OttDom1+4)=10),OttDom1+4,""),IF(AND(YEAR(OttDom1+11)=AnnoCalendario,MONTH(OttDom1+11)=10),OttDom1+11,""))</f>
        <v>45939</v>
      </c>
      <c r="F7" s="34">
        <f>IF(DAY(OttDom1)=1,IF(AND(YEAR(OttDom1+5)=AnnoCalendario,MONTH(OttDom1+5)=10),OttDom1+5,""),IF(AND(YEAR(OttDom1+12)=AnnoCalendario,MONTH(OttDom1+12)=10),OttDom1+12,""))</f>
        <v>45940</v>
      </c>
      <c r="G7" s="47">
        <f>IF(DAY(OttDom1)=1,IF(AND(YEAR(OttDom1+6)=AnnoCalendario,MONTH(OttDom1+6)=10),OttDom1+6,""),IF(AND(YEAR(OttDom1+13)=AnnoCalendario,MONTH(OttDom1+13)=10),OttDom1+13,""))</f>
        <v>45941</v>
      </c>
      <c r="H7" s="47">
        <f>IF(DAY(OttDom1)=1,IF(AND(YEAR(OttDom1+7)=AnnoCalendario,MONTH(OttDom1+7)=10),OttDom1+7,""),IF(AND(YEAR(OttDom1+14)=AnnoCalendario,MONTH(OttDom1+14)=10),OttDom1+14,""))</f>
        <v>45942</v>
      </c>
      <c r="I7" s="3"/>
    </row>
    <row r="8" spans="1:18" s="23" customFormat="1" ht="109.95" customHeight="1">
      <c r="A8" s="22"/>
      <c r="B8" s="55" t="s">
        <v>187</v>
      </c>
      <c r="C8" s="55" t="s">
        <v>188</v>
      </c>
      <c r="D8" s="55" t="s">
        <v>189</v>
      </c>
      <c r="E8" s="55" t="s">
        <v>190</v>
      </c>
      <c r="F8" s="55" t="s">
        <v>191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IF(DAY(OttDom1)=1,IF(AND(YEAR(OttDom1+8)=AnnoCalendario,MONTH(OttDom1+8)=10),OttDom1+8,""),IF(AND(YEAR(OttDom1+15)=AnnoCalendario,MONTH(OttDom1+15)=10),OttDom1+15,""))</f>
        <v>45943</v>
      </c>
      <c r="C9" s="37">
        <f>IF(DAY(OttDom1)=1,IF(AND(YEAR(OttDom1+9)=AnnoCalendario,MONTH(OttDom1+9)=10),OttDom1+9,""),IF(AND(YEAR(OttDom1+16)=AnnoCalendario,MONTH(OttDom1+16)=10),OttDom1+16,""))</f>
        <v>45944</v>
      </c>
      <c r="D9" s="37">
        <f>IF(DAY(OttDom1)=1,IF(AND(YEAR(OttDom1+10)=AnnoCalendario,MONTH(OttDom1+10)=10),OttDom1+10,""),IF(AND(YEAR(OttDom1+17)=AnnoCalendario,MONTH(OttDom1+17)=10),OttDom1+17,""))</f>
        <v>45945</v>
      </c>
      <c r="E9" s="37">
        <f>IF(DAY(OttDom1)=1,IF(AND(YEAR(OttDom1+11)=AnnoCalendario,MONTH(OttDom1+11)=10),OttDom1+11,""),IF(AND(YEAR(OttDom1+18)=AnnoCalendario,MONTH(OttDom1+18)=10),OttDom1+18,""))</f>
        <v>45946</v>
      </c>
      <c r="F9" s="37">
        <f>IF(DAY(OttDom1)=1,IF(AND(YEAR(OttDom1+12)=AnnoCalendario,MONTH(OttDom1+12)=10),OttDom1+12,""),IF(AND(YEAR(OttDom1+19)=AnnoCalendario,MONTH(OttDom1+19)=10),OttDom1+19,""))</f>
        <v>45947</v>
      </c>
      <c r="G9" s="49">
        <f>IF(DAY(OttDom1)=1,IF(AND(YEAR(OttDom1+13)=AnnoCalendario,MONTH(OttDom1+13)=10),OttDom1+13,""),IF(AND(YEAR(OttDom1+20)=AnnoCalendario,MONTH(OttDom1+20)=10),OttDom1+20,""))</f>
        <v>45948</v>
      </c>
      <c r="H9" s="49">
        <f>IF(DAY(OttDom1)=1,IF(AND(YEAR(OttDom1+14)=AnnoCalendario,MONTH(OttDom1+14)=10),OttDom1+14,""),IF(AND(YEAR(OttDom1+21)=AnnoCalendario,MONTH(OttDom1+21)=10),OttDom1+21,""))</f>
        <v>45949</v>
      </c>
      <c r="I9" s="3"/>
    </row>
    <row r="10" spans="1:18" s="23" customFormat="1" ht="109.95" customHeight="1">
      <c r="A10" s="22"/>
      <c r="B10" s="55" t="s">
        <v>192</v>
      </c>
      <c r="C10" s="55" t="s">
        <v>194</v>
      </c>
      <c r="D10" s="55" t="s">
        <v>195</v>
      </c>
      <c r="E10" s="55" t="s">
        <v>196</v>
      </c>
      <c r="F10" s="55" t="s">
        <v>197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IF(DAY(OttDom1)=1,IF(AND(YEAR(OttDom1+15)=AnnoCalendario,MONTH(OttDom1+15)=10),OttDom1+15,""),IF(AND(YEAR(OttDom1+22)=AnnoCalendario,MONTH(OttDom1+22)=10),OttDom1+22,""))</f>
        <v>45950</v>
      </c>
      <c r="C11" s="37">
        <f>IF(DAY(OttDom1)=1,IF(AND(YEAR(OttDom1+16)=AnnoCalendario,MONTH(OttDom1+16)=10),OttDom1+16,""),IF(AND(YEAR(OttDom1+23)=AnnoCalendario,MONTH(OttDom1+23)=10),OttDom1+23,""))</f>
        <v>45951</v>
      </c>
      <c r="D11" s="37">
        <f>IF(DAY(OttDom1)=1,IF(AND(YEAR(OttDom1+17)=AnnoCalendario,MONTH(OttDom1+17)=10),OttDom1+17,""),IF(AND(YEAR(OttDom1+24)=AnnoCalendario,MONTH(OttDom1+24)=10),OttDom1+24,""))</f>
        <v>45952</v>
      </c>
      <c r="E11" s="37">
        <f>IF(DAY(OttDom1)=1,IF(AND(YEAR(OttDom1+18)=AnnoCalendario,MONTH(OttDom1+18)=10),OttDom1+18,""),IF(AND(YEAR(OttDom1+25)=AnnoCalendario,MONTH(OttDom1+25)=10),OttDom1+25,""))</f>
        <v>45953</v>
      </c>
      <c r="F11" s="37">
        <f>IF(DAY(OttDom1)=1,IF(AND(YEAR(OttDom1+19)=AnnoCalendario,MONTH(OttDom1+19)=10),OttDom1+19,""),IF(AND(YEAR(OttDom1+26)=AnnoCalendario,MONTH(OttDom1+26)=10),OttDom1+26,""))</f>
        <v>45954</v>
      </c>
      <c r="G11" s="49">
        <f>IF(DAY(OttDom1)=1,IF(AND(YEAR(OttDom1+20)=AnnoCalendario,MONTH(OttDom1+20)=10),OttDom1+20,""),IF(AND(YEAR(OttDom1+27)=AnnoCalendario,MONTH(OttDom1+27)=10),OttDom1+27,""))</f>
        <v>45955</v>
      </c>
      <c r="H11" s="49">
        <f>IF(DAY(OttDom1)=1,IF(AND(YEAR(OttDom1+21)=AnnoCalendario,MONTH(OttDom1+21)=10),OttDom1+21,""),IF(AND(YEAR(OttDom1+28)=AnnoCalendario,MONTH(OttDom1+28)=10),OttDom1+28,""))</f>
        <v>45956</v>
      </c>
      <c r="I11" s="3"/>
    </row>
    <row r="12" spans="1:18" s="23" customFormat="1" ht="109.95" customHeight="1">
      <c r="A12" s="22"/>
      <c r="B12" s="55" t="s">
        <v>198</v>
      </c>
      <c r="C12" s="55" t="s">
        <v>199</v>
      </c>
      <c r="D12" s="55" t="s">
        <v>200</v>
      </c>
      <c r="E12" s="55" t="s">
        <v>201</v>
      </c>
      <c r="F12" s="55" t="s">
        <v>202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IF(DAY(OttDom1)=1,IF(AND(YEAR(OttDom1+22)=AnnoCalendario,MONTH(OttDom1+22)=10),OttDom1+22,""),IF(AND(YEAR(OttDom1+29)=AnnoCalendario,MONTH(OttDom1+29)=10),OttDom1+29,""))</f>
        <v>45957</v>
      </c>
      <c r="C13" s="37">
        <f>IF(DAY(OttDom1)=1,IF(AND(YEAR(OttDom1+23)=AnnoCalendario,MONTH(OttDom1+23)=10),OttDom1+23,""),IF(AND(YEAR(OttDom1+30)=AnnoCalendario,MONTH(OttDom1+30)=10),OttDom1+30,""))</f>
        <v>45958</v>
      </c>
      <c r="D13" s="37">
        <f>IF(DAY(OttDom1)=1,IF(AND(YEAR(OttDom1+24)=AnnoCalendario,MONTH(OttDom1+24)=10),OttDom1+24,""),IF(AND(YEAR(OttDom1+31)=AnnoCalendario,MONTH(OttDom1+31)=10),OttDom1+31,""))</f>
        <v>45959</v>
      </c>
      <c r="E13" s="37">
        <f>IF(DAY(OttDom1)=1,IF(AND(YEAR(OttDom1+25)=AnnoCalendario,MONTH(OttDom1+25)=10),OttDom1+25,""),IF(AND(YEAR(OttDom1+32)=AnnoCalendario,MONTH(OttDom1+32)=10),OttDom1+32,""))</f>
        <v>45960</v>
      </c>
      <c r="F13" s="37">
        <f>IF(DAY(OttDom1)=1,IF(AND(YEAR(OttDom1+26)=AnnoCalendario,MONTH(OttDom1+26)=10),OttDom1+26,""),IF(AND(YEAR(OttDom1+33)=AnnoCalendario,MONTH(OttDom1+33)=10),OttDom1+33,""))</f>
        <v>45961</v>
      </c>
      <c r="G13" s="37" t="str">
        <f>IF(DAY(OttDom1)=1,IF(AND(YEAR(OttDom1+27)=AnnoCalendario,MONTH(OttDom1+27)=10),OttDom1+27,""),IF(AND(YEAR(OttDom1+34)=AnnoCalendario,MONTH(OttDom1+34)=10),OttDom1+34,""))</f>
        <v/>
      </c>
      <c r="H13" s="37" t="str">
        <f>IF(DAY(OttDom1)=1,IF(AND(YEAR(OttDom1+28)=AnnoCalendario,MONTH(OttDom1+28)=10),OttDom1+28,""),IF(AND(YEAR(OttDom1+35)=AnnoCalendario,MONTH(OttDom1+35)=10),OttDom1+35,""))</f>
        <v/>
      </c>
      <c r="I13" s="3"/>
    </row>
    <row r="14" spans="1:18" s="23" customFormat="1" ht="109.95" customHeight="1">
      <c r="A14" s="22"/>
      <c r="B14" s="55" t="s">
        <v>203</v>
      </c>
      <c r="C14" s="55" t="s">
        <v>204</v>
      </c>
      <c r="D14" s="55" t="s">
        <v>205</v>
      </c>
      <c r="E14" s="55" t="s">
        <v>206</v>
      </c>
      <c r="F14" s="55" t="s">
        <v>207</v>
      </c>
      <c r="G14" s="43"/>
      <c r="H14" s="43"/>
      <c r="I14" s="20"/>
    </row>
    <row r="15" spans="1:18" ht="15" customHeight="1">
      <c r="A15"/>
      <c r="B15" s="13" t="str">
        <f>IF(DAY(OttDom1)=1,IF(AND(YEAR(OttDom1+29)=AnnoCalendario,MONTH(OttDom1+29)=10),OttDom1+29,""),IF(AND(YEAR(OttDom1+36)=AnnoCalendario,MONTH(OttDom1+36)=10),OttDom1+36,""))</f>
        <v/>
      </c>
      <c r="C15" s="14" t="str">
        <f>IF(DAY(OttDom1)=1,IF(AND(YEAR(OttDom1+30)=AnnoCalendario,MONTH(OttDom1+30)=10),OttDom1+30,""),IF(AND(YEAR(OttDom1+37)=AnnoCalendario,MONTH(OttDom1+37)=10),OttDom1+37,""))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18"/>
      <c r="C16" s="18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56B24CFC-A243-7949-8B20-A8D8105CF33D}"/>
  </hyperlinks>
  <printOptions horizontalCentered="1" verticalCentered="1"/>
  <pageMargins left="0.2" right="0.2" top="0.25" bottom="0.25" header="0" footer="0"/>
  <pageSetup paperSize="9" scale="98" orientation="landscape" r:id="rId2"/>
  <headerFooter scaleWithDoc="0"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0" tint="-0.499984740745262"/>
    <pageSetUpPr fitToPage="1"/>
  </sheetPr>
  <dimension ref="A1:R20"/>
  <sheetViews>
    <sheetView showGridLines="0" topLeftCell="A6" zoomScale="61" zoomScaleNormal="100" workbookViewId="0">
      <selection activeCell="B14" sqref="B14:F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59" t="str">
        <f>UPPER(TEXT(DATE(AnnoCalendario,11,1),"mmmm aaaa"))</f>
        <v>NOVEMBRE 2025</v>
      </c>
      <c r="C3" s="59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IF(DAY(NovDom1)=1,"",IF(AND(YEAR(NovDom1+1)=AnnoCalendario,MONTH(NovDom1+1)=11),NovDom1+1,""))</f>
        <v/>
      </c>
      <c r="C5" s="34" t="str">
        <f>IF(DAY(NovDom1)=1,"",IF(AND(YEAR(NovDom1+2)=AnnoCalendario,MONTH(NovDom1+2)=11),NovDom1+2,""))</f>
        <v/>
      </c>
      <c r="D5" s="34" t="str">
        <f>IF(DAY(NovDom1)=1,"",IF(AND(YEAR(NovDom1+3)=AnnoCalendario,MONTH(NovDom1+3)=11),NovDom1+3,""))</f>
        <v/>
      </c>
      <c r="E5" s="34" t="str">
        <f>IF(DAY(NovDom1)=1,"",IF(AND(YEAR(NovDom1+4)=AnnoCalendario,MONTH(NovDom1+4)=11),NovDom1+4,""))</f>
        <v/>
      </c>
      <c r="F5" s="34" t="str">
        <f>IF(DAY(NovDom1)=1,"",IF(AND(YEAR(NovDom1+5)=AnnoCalendario,MONTH(NovDom1+5)=11),NovDom1+5,""))</f>
        <v/>
      </c>
      <c r="G5" s="47">
        <f>IF(DAY(NovDom1)=1,"",IF(AND(YEAR(NovDom1+6)=AnnoCalendario,MONTH(NovDom1+6)=11),NovDom1+6,""))</f>
        <v>45962</v>
      </c>
      <c r="H5" s="47">
        <f>IF(DAY(NovDom1)=1,IF(AND(YEAR(NovDom1)=AnnoCalendario,MONTH(NovDom1)=11),NovDom1,""),IF(AND(YEAR(NovDom1+7)=AnnoCalendario,MONTH(NovDom1+7)=11),NovDom1+7,""))</f>
        <v>45963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35"/>
      <c r="C6" s="35"/>
      <c r="D6" s="35"/>
      <c r="E6" s="35"/>
      <c r="F6" s="35"/>
      <c r="G6" s="48" t="s">
        <v>37</v>
      </c>
      <c r="H6" s="48" t="s">
        <v>37</v>
      </c>
      <c r="I6" s="20"/>
    </row>
    <row r="7" spans="1:18" ht="15" customHeight="1">
      <c r="A7"/>
      <c r="B7" s="34">
        <f>IF(DAY(NovDom1)=1,IF(AND(YEAR(NovDom1+1)=AnnoCalendario,MONTH(NovDom1+1)=11),NovDom1+1,""),IF(AND(YEAR(NovDom1+8)=AnnoCalendario,MONTH(NovDom1+8)=11),NovDom1+8,""))</f>
        <v>45964</v>
      </c>
      <c r="C7" s="34">
        <f>IF(DAY(NovDom1)=1,IF(AND(YEAR(NovDom1+2)=AnnoCalendario,MONTH(NovDom1+2)=11),NovDom1+2,""),IF(AND(YEAR(NovDom1+9)=AnnoCalendario,MONTH(NovDom1+9)=11),NovDom1+9,""))</f>
        <v>45965</v>
      </c>
      <c r="D7" s="34">
        <f>IF(DAY(NovDom1)=1,IF(AND(YEAR(NovDom1+3)=AnnoCalendario,MONTH(NovDom1+3)=11),NovDom1+3,""),IF(AND(YEAR(NovDom1+10)=AnnoCalendario,MONTH(NovDom1+10)=11),NovDom1+10,""))</f>
        <v>45966</v>
      </c>
      <c r="E7" s="34">
        <f>IF(DAY(NovDom1)=1,IF(AND(YEAR(NovDom1+4)=AnnoCalendario,MONTH(NovDom1+4)=11),NovDom1+4,""),IF(AND(YEAR(NovDom1+11)=AnnoCalendario,MONTH(NovDom1+11)=11),NovDom1+11,""))</f>
        <v>45967</v>
      </c>
      <c r="F7" s="34">
        <f>IF(DAY(NovDom1)=1,IF(AND(YEAR(NovDom1+5)=AnnoCalendario,MONTH(NovDom1+5)=11),NovDom1+5,""),IF(AND(YEAR(NovDom1+12)=AnnoCalendario,MONTH(NovDom1+12)=11),NovDom1+12,""))</f>
        <v>45968</v>
      </c>
      <c r="G7" s="47">
        <f>IF(DAY(NovDom1)=1,IF(AND(YEAR(NovDom1+6)=AnnoCalendario,MONTH(NovDom1+6)=11),NovDom1+6,""),IF(AND(YEAR(NovDom1+13)=AnnoCalendario,MONTH(NovDom1+13)=11),NovDom1+13,""))</f>
        <v>45969</v>
      </c>
      <c r="H7" s="47">
        <f>IF(DAY(NovDom1)=1,IF(AND(YEAR(NovDom1+7)=AnnoCalendario,MONTH(NovDom1+7)=11),NovDom1+7,""),IF(AND(YEAR(NovDom1+14)=AnnoCalendario,MONTH(NovDom1+14)=11),NovDom1+14,""))</f>
        <v>45970</v>
      </c>
      <c r="I7" s="3"/>
    </row>
    <row r="8" spans="1:18" s="23" customFormat="1" ht="109.95" customHeight="1">
      <c r="A8" s="22"/>
      <c r="B8" s="55" t="s">
        <v>208</v>
      </c>
      <c r="C8" s="55" t="s">
        <v>209</v>
      </c>
      <c r="D8" s="55" t="s">
        <v>210</v>
      </c>
      <c r="E8" s="55" t="s">
        <v>211</v>
      </c>
      <c r="F8" s="55" t="s">
        <v>212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IF(DAY(NovDom1)=1,IF(AND(YEAR(NovDom1+8)=AnnoCalendario,MONTH(NovDom1+8)=11),NovDom1+8,""),IF(AND(YEAR(NovDom1+15)=AnnoCalendario,MONTH(NovDom1+15)=11),NovDom1+15,""))</f>
        <v>45971</v>
      </c>
      <c r="C9" s="37">
        <f>IF(DAY(NovDom1)=1,IF(AND(YEAR(NovDom1+9)=AnnoCalendario,MONTH(NovDom1+9)=11),NovDom1+9,""),IF(AND(YEAR(NovDom1+16)=AnnoCalendario,MONTH(NovDom1+16)=11),NovDom1+16,""))</f>
        <v>45972</v>
      </c>
      <c r="D9" s="37">
        <f>IF(DAY(NovDom1)=1,IF(AND(YEAR(NovDom1+10)=AnnoCalendario,MONTH(NovDom1+10)=11),NovDom1+10,""),IF(AND(YEAR(NovDom1+17)=AnnoCalendario,MONTH(NovDom1+17)=11),NovDom1+17,""))</f>
        <v>45973</v>
      </c>
      <c r="E9" s="37">
        <f>IF(DAY(NovDom1)=1,IF(AND(YEAR(NovDom1+11)=AnnoCalendario,MONTH(NovDom1+11)=11),NovDom1+11,""),IF(AND(YEAR(NovDom1+18)=AnnoCalendario,MONTH(NovDom1+18)=11),NovDom1+18,""))</f>
        <v>45974</v>
      </c>
      <c r="F9" s="37">
        <f>IF(DAY(NovDom1)=1,IF(AND(YEAR(NovDom1+12)=AnnoCalendario,MONTH(NovDom1+12)=11),NovDom1+12,""),IF(AND(YEAR(NovDom1+19)=AnnoCalendario,MONTH(NovDom1+19)=11),NovDom1+19,""))</f>
        <v>45975</v>
      </c>
      <c r="G9" s="49">
        <f>IF(DAY(NovDom1)=1,IF(AND(YEAR(NovDom1+13)=AnnoCalendario,MONTH(NovDom1+13)=11),NovDom1+13,""),IF(AND(YEAR(NovDom1+20)=AnnoCalendario,MONTH(NovDom1+20)=11),NovDom1+20,""))</f>
        <v>45976</v>
      </c>
      <c r="H9" s="49">
        <f>IF(DAY(NovDom1)=1,IF(AND(YEAR(NovDom1+14)=AnnoCalendario,MONTH(NovDom1+14)=11),NovDom1+14,""),IF(AND(YEAR(NovDom1+21)=AnnoCalendario,MONTH(NovDom1+21)=11),NovDom1+21,""))</f>
        <v>45977</v>
      </c>
      <c r="I9" s="3"/>
    </row>
    <row r="10" spans="1:18" s="23" customFormat="1" ht="109.95" customHeight="1">
      <c r="A10" s="22"/>
      <c r="B10" s="55" t="s">
        <v>213</v>
      </c>
      <c r="C10" s="55" t="s">
        <v>214</v>
      </c>
      <c r="D10" s="55" t="s">
        <v>215</v>
      </c>
      <c r="E10" s="55" t="s">
        <v>216</v>
      </c>
      <c r="F10" s="55" t="s">
        <v>217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IF(DAY(NovDom1)=1,IF(AND(YEAR(NovDom1+15)=AnnoCalendario,MONTH(NovDom1+15)=11),NovDom1+15,""),IF(AND(YEAR(NovDom1+22)=AnnoCalendario,MONTH(NovDom1+22)=11),NovDom1+22,""))</f>
        <v>45978</v>
      </c>
      <c r="C11" s="37">
        <f>IF(DAY(NovDom1)=1,IF(AND(YEAR(NovDom1+16)=AnnoCalendario,MONTH(NovDom1+16)=11),NovDom1+16,""),IF(AND(YEAR(NovDom1+23)=AnnoCalendario,MONTH(NovDom1+23)=11),NovDom1+23,""))</f>
        <v>45979</v>
      </c>
      <c r="D11" s="37">
        <f>IF(DAY(NovDom1)=1,IF(AND(YEAR(NovDom1+17)=AnnoCalendario,MONTH(NovDom1+17)=11),NovDom1+17,""),IF(AND(YEAR(NovDom1+24)=AnnoCalendario,MONTH(NovDom1+24)=11),NovDom1+24,""))</f>
        <v>45980</v>
      </c>
      <c r="E11" s="37">
        <f>IF(DAY(NovDom1)=1,IF(AND(YEAR(NovDom1+18)=AnnoCalendario,MONTH(NovDom1+18)=11),NovDom1+18,""),IF(AND(YEAR(NovDom1+25)=AnnoCalendario,MONTH(NovDom1+25)=11),NovDom1+25,""))</f>
        <v>45981</v>
      </c>
      <c r="F11" s="37">
        <f>IF(DAY(NovDom1)=1,IF(AND(YEAR(NovDom1+19)=AnnoCalendario,MONTH(NovDom1+19)=11),NovDom1+19,""),IF(AND(YEAR(NovDom1+26)=AnnoCalendario,MONTH(NovDom1+26)=11),NovDom1+26,""))</f>
        <v>45982</v>
      </c>
      <c r="G11" s="49">
        <f>IF(DAY(NovDom1)=1,IF(AND(YEAR(NovDom1+20)=AnnoCalendario,MONTH(NovDom1+20)=11),NovDom1+20,""),IF(AND(YEAR(NovDom1+27)=AnnoCalendario,MONTH(NovDom1+27)=11),NovDom1+27,""))</f>
        <v>45983</v>
      </c>
      <c r="H11" s="49">
        <f>IF(DAY(NovDom1)=1,IF(AND(YEAR(NovDom1+21)=AnnoCalendario,MONTH(NovDom1+21)=11),NovDom1+21,""),IF(AND(YEAR(NovDom1+28)=AnnoCalendario,MONTH(NovDom1+28)=11),NovDom1+28,""))</f>
        <v>45984</v>
      </c>
      <c r="I11" s="3"/>
    </row>
    <row r="12" spans="1:18" s="23" customFormat="1" ht="109.95" customHeight="1">
      <c r="A12" s="22"/>
      <c r="B12" s="55" t="s">
        <v>218</v>
      </c>
      <c r="C12" s="55" t="s">
        <v>219</v>
      </c>
      <c r="D12" s="55" t="s">
        <v>220</v>
      </c>
      <c r="E12" s="55" t="s">
        <v>221</v>
      </c>
      <c r="F12" s="55" t="s">
        <v>222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IF(DAY(NovDom1)=1,IF(AND(YEAR(NovDom1+22)=AnnoCalendario,MONTH(NovDom1+22)=11),NovDom1+22,""),IF(AND(YEAR(NovDom1+29)=AnnoCalendario,MONTH(NovDom1+29)=11),NovDom1+29,""))</f>
        <v>45985</v>
      </c>
      <c r="C13" s="37">
        <f>IF(DAY(NovDom1)=1,IF(AND(YEAR(NovDom1+23)=AnnoCalendario,MONTH(NovDom1+23)=11),NovDom1+23,""),IF(AND(YEAR(NovDom1+30)=AnnoCalendario,MONTH(NovDom1+30)=11),NovDom1+30,""))</f>
        <v>45986</v>
      </c>
      <c r="D13" s="37">
        <f>IF(DAY(NovDom1)=1,IF(AND(YEAR(NovDom1+24)=AnnoCalendario,MONTH(NovDom1+24)=11),NovDom1+24,""),IF(AND(YEAR(NovDom1+31)=AnnoCalendario,MONTH(NovDom1+31)=11),NovDom1+31,""))</f>
        <v>45987</v>
      </c>
      <c r="E13" s="37">
        <f>IF(DAY(NovDom1)=1,IF(AND(YEAR(NovDom1+25)=AnnoCalendario,MONTH(NovDom1+25)=11),NovDom1+25,""),IF(AND(YEAR(NovDom1+32)=AnnoCalendario,MONTH(NovDom1+32)=11),NovDom1+32,""))</f>
        <v>45988</v>
      </c>
      <c r="F13" s="37">
        <f>IF(DAY(NovDom1)=1,IF(AND(YEAR(NovDom1+26)=AnnoCalendario,MONTH(NovDom1+26)=11),NovDom1+26,""),IF(AND(YEAR(NovDom1+33)=AnnoCalendario,MONTH(NovDom1+33)=11),NovDom1+33,""))</f>
        <v>45989</v>
      </c>
      <c r="G13" s="49">
        <f>IF(DAY(NovDom1)=1,IF(AND(YEAR(NovDom1+27)=AnnoCalendario,MONTH(NovDom1+27)=11),NovDom1+27,""),IF(AND(YEAR(NovDom1+34)=AnnoCalendario,MONTH(NovDom1+34)=11),NovDom1+34,""))</f>
        <v>45990</v>
      </c>
      <c r="H13" s="49">
        <f>IF(DAY(NovDom1)=1,IF(AND(YEAR(NovDom1+28)=AnnoCalendario,MONTH(NovDom1+28)=11),NovDom1+28,""),IF(AND(YEAR(NovDom1+35)=AnnoCalendario,MONTH(NovDom1+35)=11),NovDom1+35,""))</f>
        <v>45991</v>
      </c>
      <c r="I13" s="3"/>
    </row>
    <row r="14" spans="1:18" s="23" customFormat="1" ht="109.95" customHeight="1">
      <c r="A14" s="22"/>
      <c r="B14" s="55" t="s">
        <v>223</v>
      </c>
      <c r="C14" s="55" t="s">
        <v>224</v>
      </c>
      <c r="D14" s="55" t="s">
        <v>225</v>
      </c>
      <c r="E14" s="42" t="s">
        <v>135</v>
      </c>
      <c r="F14" s="55" t="s">
        <v>134</v>
      </c>
      <c r="G14" s="48"/>
      <c r="H14" s="48"/>
      <c r="I14" s="20"/>
    </row>
    <row r="15" spans="1:18" ht="15" customHeight="1">
      <c r="A15"/>
      <c r="B15" s="13" t="str">
        <f>IF(DAY(NovDom1)=1,IF(AND(YEAR(NovDom1+29)=AnnoCalendario,MONTH(NovDom1+29)=11),NovDom1+29,""),IF(AND(YEAR(NovDom1+36)=AnnoCalendario,MONTH(NovDom1+36)=11),NovDom1+36,""))</f>
        <v/>
      </c>
      <c r="C15" s="14" t="str">
        <f>IF(DAY(NovDom1)=1,IF(AND(YEAR(NovDom1+30)=AnnoCalendario,MONTH(NovDom1+30)=11),NovDom1+30,""),IF(AND(YEAR(NovDom1+37)=AnnoCalendario,MONTH(NovDom1+37)=11),NovDom1+37,""))</f>
        <v/>
      </c>
      <c r="D15" s="28" t="s">
        <v>3</v>
      </c>
      <c r="E15" s="29"/>
      <c r="F15" s="29"/>
      <c r="G15" s="29"/>
      <c r="H15" s="30"/>
      <c r="I15" s="3"/>
    </row>
    <row r="16" spans="1:18" ht="109.95" customHeight="1">
      <c r="A16"/>
      <c r="B16" s="8"/>
      <c r="C16" s="8"/>
      <c r="D16" s="25" t="s">
        <v>269</v>
      </c>
      <c r="E16" s="26"/>
      <c r="F16" s="26"/>
      <c r="G16" s="26"/>
      <c r="H16" s="27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44F3F701-6AA3-6C46-9DE3-288AE30434BF}"/>
    <hyperlink ref="E14" r:id="rId2" display="https://1drv.ms/b/s!AqJ5MhF8daU4hd1S7SBTxSoJjp3uaw?e=Rfkhym" xr:uid="{6DFE20AE-A07E-46C2-BF7D-4E42F5132A28}"/>
  </hyperlinks>
  <printOptions horizontalCentered="1" verticalCentered="1"/>
  <pageMargins left="0.2" right="0.2" top="0.25" bottom="0.25" header="0" footer="0"/>
  <pageSetup paperSize="9" scale="98" orientation="landscape" r:id="rId3"/>
  <headerFooter scaleWithDoc="0"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0" tint="-0.34998626667073579"/>
    <pageSetUpPr fitToPage="1"/>
  </sheetPr>
  <dimension ref="A1:R20"/>
  <sheetViews>
    <sheetView showGridLines="0" zoomScale="40" zoomScaleNormal="100" workbookViewId="0">
      <selection activeCell="L12" sqref="L12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61" t="str">
        <f>UPPER(TEXT(DATE(AnnoCalendario,12,1),"mmmm aaaa"))</f>
        <v>DICEMBRE 2025</v>
      </c>
      <c r="C3" s="61"/>
      <c r="D3" s="62" t="s">
        <v>262</v>
      </c>
      <c r="E3" s="62"/>
      <c r="F3" s="62"/>
      <c r="G3" s="62"/>
      <c r="H3" s="62"/>
      <c r="I3" s="62"/>
      <c r="J3" s="62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>
        <f>IF(DAY(DicDom1)=1,"",IF(AND(YEAR(DicDom1+1)=AnnoCalendario,MONTH(DicDom1+1)=12),DicDom1+1,""))</f>
        <v>45992</v>
      </c>
      <c r="C5" s="34">
        <f>IF(DAY(DicDom1)=1,"",IF(AND(YEAR(DicDom1+2)=AnnoCalendario,MONTH(DicDom1+2)=12),DicDom1+2,""))</f>
        <v>45993</v>
      </c>
      <c r="D5" s="34">
        <f>IF(DAY(DicDom1)=1,"",IF(AND(YEAR(DicDom1+3)=AnnoCalendario,MONTH(DicDom1+3)=12),DicDom1+3,""))</f>
        <v>45994</v>
      </c>
      <c r="E5" s="34">
        <f>IF(DAY(DicDom1)=1,"",IF(AND(YEAR(DicDom1+4)=AnnoCalendario,MONTH(DicDom1+4)=12),DicDom1+4,""))</f>
        <v>45995</v>
      </c>
      <c r="F5" s="34">
        <f>IF(DAY(DicDom1)=1,"",IF(AND(YEAR(DicDom1+5)=AnnoCalendario,MONTH(DicDom1+5)=12),DicDom1+5,""))</f>
        <v>45996</v>
      </c>
      <c r="G5" s="47">
        <f>IF(DAY(DicDom1)=1,"",IF(AND(YEAR(DicDom1+6)=AnnoCalendario,MONTH(DicDom1+6)=12),DicDom1+6,""))</f>
        <v>45997</v>
      </c>
      <c r="H5" s="47">
        <f>IF(DAY(DicDom1)=1,IF(AND(YEAR(DicDom1)=AnnoCalendario,MONTH(DicDom1)=12),DicDom1,""),IF(AND(YEAR(DicDom1+7)=AnnoCalendario,MONTH(DicDom1+7)=12),DicDom1+7,""))</f>
        <v>45998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55" t="s">
        <v>133</v>
      </c>
      <c r="C6" s="55" t="s">
        <v>132</v>
      </c>
      <c r="D6" s="42" t="s">
        <v>131</v>
      </c>
      <c r="E6" s="55" t="s">
        <v>130</v>
      </c>
      <c r="F6" s="55" t="s">
        <v>129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IF(DAY(DicDom1)=1,IF(AND(YEAR(DicDom1+1)=AnnoCalendario,MONTH(DicDom1+1)=12),DicDom1+1,""),IF(AND(YEAR(DicDom1+8)=AnnoCalendario,MONTH(DicDom1+8)=12),DicDom1+8,""))</f>
        <v>45999</v>
      </c>
      <c r="C7" s="34">
        <f>IF(DAY(DicDom1)=1,IF(AND(YEAR(DicDom1+2)=AnnoCalendario,MONTH(DicDom1+2)=12),DicDom1+2,""),IF(AND(YEAR(DicDom1+9)=AnnoCalendario,MONTH(DicDom1+9)=12),DicDom1+9,""))</f>
        <v>46000</v>
      </c>
      <c r="D7" s="34">
        <f>IF(DAY(DicDom1)=1,IF(AND(YEAR(DicDom1+3)=AnnoCalendario,MONTH(DicDom1+3)=12),DicDom1+3,""),IF(AND(YEAR(DicDom1+10)=AnnoCalendario,MONTH(DicDom1+10)=12),DicDom1+10,""))</f>
        <v>46001</v>
      </c>
      <c r="E7" s="34">
        <f>IF(DAY(DicDom1)=1,IF(AND(YEAR(DicDom1+4)=AnnoCalendario,MONTH(DicDom1+4)=12),DicDom1+4,""),IF(AND(YEAR(DicDom1+11)=AnnoCalendario,MONTH(DicDom1+11)=12),DicDom1+11,""))</f>
        <v>46002</v>
      </c>
      <c r="F7" s="34">
        <f>IF(DAY(DicDom1)=1,IF(AND(YEAR(DicDom1+5)=AnnoCalendario,MONTH(DicDom1+5)=12),DicDom1+5,""),IF(AND(YEAR(DicDom1+12)=AnnoCalendario,MONTH(DicDom1+12)=12),DicDom1+12,""))</f>
        <v>46003</v>
      </c>
      <c r="G7" s="47">
        <f>IF(DAY(DicDom1)=1,IF(AND(YEAR(DicDom1+6)=AnnoCalendario,MONTH(DicDom1+6)=12),DicDom1+6,""),IF(AND(YEAR(DicDom1+13)=AnnoCalendario,MONTH(DicDom1+13)=12),DicDom1+13,""))</f>
        <v>46004</v>
      </c>
      <c r="H7" s="47">
        <f>IF(DAY(DicDom1)=1,IF(AND(YEAR(DicDom1+7)=AnnoCalendario,MONTH(DicDom1+7)=12),DicDom1+7,""),IF(AND(YEAR(DicDom1+14)=AnnoCalendario,MONTH(DicDom1+14)=12),DicDom1+14,""))</f>
        <v>46005</v>
      </c>
      <c r="I7" s="3"/>
    </row>
    <row r="8" spans="1:18" s="23" customFormat="1" ht="109.95" customHeight="1">
      <c r="A8" s="22"/>
      <c r="B8" s="55" t="s">
        <v>128</v>
      </c>
      <c r="C8" s="42" t="s">
        <v>127</v>
      </c>
      <c r="D8" s="55" t="s">
        <v>266</v>
      </c>
      <c r="E8" s="55" t="s">
        <v>126</v>
      </c>
      <c r="F8" s="55" t="s">
        <v>125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IF(DAY(DicDom1)=1,IF(AND(YEAR(DicDom1+8)=AnnoCalendario,MONTH(DicDom1+8)=12),DicDom1+8,""),IF(AND(YEAR(DicDom1+15)=AnnoCalendario,MONTH(DicDom1+15)=12),DicDom1+15,""))</f>
        <v>46006</v>
      </c>
      <c r="C9" s="37">
        <f>IF(DAY(DicDom1)=1,IF(AND(YEAR(DicDom1+9)=AnnoCalendario,MONTH(DicDom1+9)=12),DicDom1+9,""),IF(AND(YEAR(DicDom1+16)=AnnoCalendario,MONTH(DicDom1+16)=12),DicDom1+16,""))</f>
        <v>46007</v>
      </c>
      <c r="D9" s="37">
        <f>IF(DAY(DicDom1)=1,IF(AND(YEAR(DicDom1+10)=AnnoCalendario,MONTH(DicDom1+10)=12),DicDom1+10,""),IF(AND(YEAR(DicDom1+17)=AnnoCalendario,MONTH(DicDom1+17)=12),DicDom1+17,""))</f>
        <v>46008</v>
      </c>
      <c r="E9" s="37">
        <f>IF(DAY(DicDom1)=1,IF(AND(YEAR(DicDom1+11)=AnnoCalendario,MONTH(DicDom1+11)=12),DicDom1+11,""),IF(AND(YEAR(DicDom1+18)=AnnoCalendario,MONTH(DicDom1+18)=12),DicDom1+18,""))</f>
        <v>46009</v>
      </c>
      <c r="F9" s="37">
        <f>IF(DAY(DicDom1)=1,IF(AND(YEAR(DicDom1+12)=AnnoCalendario,MONTH(DicDom1+12)=12),DicDom1+12,""),IF(AND(YEAR(DicDom1+19)=AnnoCalendario,MONTH(DicDom1+19)=12),DicDom1+19,""))</f>
        <v>46010</v>
      </c>
      <c r="G9" s="49">
        <f>IF(DAY(DicDom1)=1,IF(AND(YEAR(DicDom1+13)=AnnoCalendario,MONTH(DicDom1+13)=12),DicDom1+13,""),IF(AND(YEAR(DicDom1+20)=AnnoCalendario,MONTH(DicDom1+20)=12),DicDom1+20,""))</f>
        <v>46011</v>
      </c>
      <c r="H9" s="49">
        <f>IF(DAY(DicDom1)=1,IF(AND(YEAR(DicDom1+14)=AnnoCalendario,MONTH(DicDom1+14)=12),DicDom1+14,""),IF(AND(YEAR(DicDom1+21)=AnnoCalendario,MONTH(DicDom1+21)=12),DicDom1+21,""))</f>
        <v>46012</v>
      </c>
      <c r="I9" s="3"/>
    </row>
    <row r="10" spans="1:18" s="23" customFormat="1" ht="109.95" customHeight="1">
      <c r="A10" s="22"/>
      <c r="B10" s="55" t="s">
        <v>124</v>
      </c>
      <c r="C10" s="55" t="s">
        <v>123</v>
      </c>
      <c r="D10" s="55" t="s">
        <v>122</v>
      </c>
      <c r="E10" s="55" t="s">
        <v>267</v>
      </c>
      <c r="F10" s="42" t="s">
        <v>121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IF(DAY(DicDom1)=1,IF(AND(YEAR(DicDom1+15)=AnnoCalendario,MONTH(DicDom1+15)=12),DicDom1+15,""),IF(AND(YEAR(DicDom1+22)=AnnoCalendario,MONTH(DicDom1+22)=12),DicDom1+22,""))</f>
        <v>46013</v>
      </c>
      <c r="C11" s="37">
        <f>IF(DAY(DicDom1)=1,IF(AND(YEAR(DicDom1+16)=AnnoCalendario,MONTH(DicDom1+16)=12),DicDom1+16,""),IF(AND(YEAR(DicDom1+23)=AnnoCalendario,MONTH(DicDom1+23)=12),DicDom1+23,""))</f>
        <v>46014</v>
      </c>
      <c r="D11" s="37">
        <f>IF(DAY(DicDom1)=1,IF(AND(YEAR(DicDom1+17)=AnnoCalendario,MONTH(DicDom1+17)=12),DicDom1+17,""),IF(AND(YEAR(DicDom1+24)=AnnoCalendario,MONTH(DicDom1+24)=12),DicDom1+24,""))</f>
        <v>46015</v>
      </c>
      <c r="E11" s="37">
        <f>IF(DAY(DicDom1)=1,IF(AND(YEAR(DicDom1+18)=AnnoCalendario,MONTH(DicDom1+18)=12),DicDom1+18,""),IF(AND(YEAR(DicDom1+25)=AnnoCalendario,MONTH(DicDom1+25)=12),DicDom1+25,""))</f>
        <v>46016</v>
      </c>
      <c r="F11" s="37">
        <f>IF(DAY(DicDom1)=1,IF(AND(YEAR(DicDom1+19)=AnnoCalendario,MONTH(DicDom1+19)=12),DicDom1+19,""),IF(AND(YEAR(DicDom1+26)=AnnoCalendario,MONTH(DicDom1+26)=12),DicDom1+26,""))</f>
        <v>46017</v>
      </c>
      <c r="G11" s="49">
        <f>IF(DAY(DicDom1)=1,IF(AND(YEAR(DicDom1+20)=AnnoCalendario,MONTH(DicDom1+20)=12),DicDom1+20,""),IF(AND(YEAR(DicDom1+27)=AnnoCalendario,MONTH(DicDom1+27)=12),DicDom1+27,""))</f>
        <v>46018</v>
      </c>
      <c r="H11" s="49">
        <f>IF(DAY(DicDom1)=1,IF(AND(YEAR(DicDom1+21)=AnnoCalendario,MONTH(DicDom1+21)=12),DicDom1+21,""),IF(AND(YEAR(DicDom1+28)=AnnoCalendario,MONTH(DicDom1+28)=12),DicDom1+28,""))</f>
        <v>46019</v>
      </c>
      <c r="I11" s="3"/>
    </row>
    <row r="12" spans="1:18" s="23" customFormat="1" ht="109.95" customHeight="1">
      <c r="A12" s="22"/>
      <c r="B12" s="55" t="s">
        <v>120</v>
      </c>
      <c r="C12" s="55" t="s">
        <v>119</v>
      </c>
      <c r="D12" s="55" t="s">
        <v>118</v>
      </c>
      <c r="E12" s="55" t="s">
        <v>136</v>
      </c>
      <c r="F12" s="55" t="s">
        <v>119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IF(DAY(DicDom1)=1,IF(AND(YEAR(DicDom1+22)=AnnoCalendario,MONTH(DicDom1+22)=12),DicDom1+22,""),IF(AND(YEAR(DicDom1+29)=AnnoCalendario,MONTH(DicDom1+29)=12),DicDom1+29,""))</f>
        <v>46020</v>
      </c>
      <c r="C13" s="37">
        <f>IF(DAY(DicDom1)=1,IF(AND(YEAR(DicDom1+23)=AnnoCalendario,MONTH(DicDom1+23)=12),DicDom1+23,""),IF(AND(YEAR(DicDom1+30)=AnnoCalendario,MONTH(DicDom1+30)=12),DicDom1+30,""))</f>
        <v>46021</v>
      </c>
      <c r="D13" s="37">
        <f>IF(DAY(DicDom1)=1,IF(AND(YEAR(DicDom1+24)=AnnoCalendario,MONTH(DicDom1+24)=12),DicDom1+24,""),IF(AND(YEAR(DicDom1+31)=AnnoCalendario,MONTH(DicDom1+31)=12),DicDom1+31,""))</f>
        <v>46022</v>
      </c>
      <c r="E13" s="37" t="str">
        <f>IF(DAY(DicDom1)=1,IF(AND(YEAR(DicDom1+25)=AnnoCalendario,MONTH(DicDom1+25)=12),DicDom1+25,""),IF(AND(YEAR(DicDom1+32)=AnnoCalendario,MONTH(DicDom1+32)=12),DicDom1+32,""))</f>
        <v/>
      </c>
      <c r="F13" s="37" t="str">
        <f>IF(DAY(DicDom1)=1,IF(AND(YEAR(DicDom1+26)=AnnoCalendario,MONTH(DicDom1+26)=12),DicDom1+26,""),IF(AND(YEAR(DicDom1+33)=AnnoCalendario,MONTH(DicDom1+33)=12),DicDom1+33,""))</f>
        <v/>
      </c>
      <c r="G13" s="37" t="str">
        <f>IF(DAY(DicDom1)=1,IF(AND(YEAR(DicDom1+27)=AnnoCalendario,MONTH(DicDom1+27)=12),DicDom1+27,""),IF(AND(YEAR(DicDom1+34)=AnnoCalendario,MONTH(DicDom1+34)=12),DicDom1+34,""))</f>
        <v/>
      </c>
      <c r="H13" s="37" t="str">
        <f>IF(DAY(DicDom1)=1,IF(AND(YEAR(DicDom1+28)=AnnoCalendario,MONTH(DicDom1+28)=12),DicDom1+28,""),IF(AND(YEAR(DicDom1+35)=AnnoCalendario,MONTH(DicDom1+35)=12),DicDom1+35,""))</f>
        <v/>
      </c>
      <c r="I13" s="3"/>
    </row>
    <row r="14" spans="1:18" s="23" customFormat="1" ht="109.95" customHeight="1">
      <c r="A14" s="22"/>
      <c r="B14" s="55" t="s">
        <v>118</v>
      </c>
      <c r="C14" s="55" t="s">
        <v>117</v>
      </c>
      <c r="D14" s="55" t="s">
        <v>116</v>
      </c>
      <c r="E14" s="35"/>
      <c r="F14" s="35"/>
      <c r="G14" s="43"/>
      <c r="H14" s="43"/>
      <c r="I14" s="20"/>
    </row>
    <row r="15" spans="1:18" ht="15" customHeight="1">
      <c r="A15"/>
      <c r="B15" s="13" t="str">
        <f>IF(DAY(DicDom1)=1,IF(AND(YEAR(DicDom1+29)=AnnoCalendario,MONTH(DicDom1+29)=12),DicDom1+29,""),IF(AND(YEAR(DicDom1+36)=AnnoCalendario,MONTH(DicDom1+36)=12),DicDom1+36,""))</f>
        <v/>
      </c>
      <c r="C15" s="14" t="str">
        <f>IF(DAY(DicDom1)=1,IF(AND(YEAR(DicDom1+30)=AnnoCalendario,MONTH(DicDom1+30)=12),DicDom1+30,""),IF(AND(YEAR(DicDom1+37)=AnnoCalendario,MONTH(DicDom1+37)=12),DicDom1+37,""))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18"/>
      <c r="C16" s="18"/>
      <c r="D16" s="25" t="s">
        <v>269</v>
      </c>
      <c r="E16" s="26"/>
      <c r="F16" s="26"/>
      <c r="G16" s="26"/>
      <c r="H16" s="27"/>
      <c r="I16" s="20"/>
    </row>
    <row r="17" spans="3:5" ht="22.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5C90EFC5-A5E3-5D43-970E-DF03F527F995}"/>
    <hyperlink ref="D6" r:id="rId2" xr:uid="{D9D824D1-A3E8-4F0F-8D2E-C71508788EA0}"/>
    <hyperlink ref="C8" r:id="rId3" xr:uid="{30EE81BF-BF95-4D7D-83CF-AC92640D08AB}"/>
    <hyperlink ref="F10" r:id="rId4" xr:uid="{DD6A04B4-2591-41AB-B36D-44CCD5E39436}"/>
  </hyperlinks>
  <printOptions horizontalCentered="1" verticalCentered="1"/>
  <pageMargins left="0.2" right="0.2" top="0.25" bottom="0.25" header="0" footer="0"/>
  <pageSetup paperSize="9" scale="98" orientation="landscape" r:id="rId5"/>
  <headerFooter scaleWithDoc="0"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  <pageSetUpPr fitToPage="1"/>
  </sheetPr>
  <dimension ref="A1:R20"/>
  <sheetViews>
    <sheetView showGridLines="0" topLeftCell="A6" zoomScale="58" zoomScaleNormal="100" workbookViewId="0">
      <selection activeCell="F14" sqref="B14:F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52" t="str">
        <f>UPPER(TEXT(DATE(AnnoCalendario,2,1),"mmmm aaaa"))</f>
        <v>FEBBRAIO 2025</v>
      </c>
      <c r="C3" s="52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IF(DAY(FebDom1)=1,"",IF(AND(YEAR(FebDom1+1)=AnnoCalendario,MONTH(FebDom1+1)=2),FebDom1+1,""))</f>
        <v/>
      </c>
      <c r="C5" s="34" t="str">
        <f>IF(DAY(FebDom1)=1,"",IF(AND(YEAR(FebDom1+2)=AnnoCalendario,MONTH(FebDom1+2)=2),FebDom1+2,""))</f>
        <v/>
      </c>
      <c r="D5" s="34" t="str">
        <f>IF(DAY(FebDom1)=1,"",IF(AND(YEAR(FebDom1+3)=AnnoCalendario,MONTH(FebDom1+3)=2),FebDom1+3,""))</f>
        <v/>
      </c>
      <c r="E5" s="34" t="str">
        <f>IF(DAY(FebDom1)=1,"",IF(AND(YEAR(FebDom1+4)=AnnoCalendario,MONTH(FebDom1+4)=2),FebDom1+4,""))</f>
        <v/>
      </c>
      <c r="F5" s="34" t="str">
        <f>IF(DAY(FebDom1)=1,"",IF(AND(YEAR(FebDom1+5)=AnnoCalendario,MONTH(FebDom1+5)=2),FebDom1+5,""))</f>
        <v/>
      </c>
      <c r="G5" s="47">
        <f>IF(DAY(FebDom1)=1,"",IF(AND(YEAR(FebDom1+6)=AnnoCalendario,MONTH(FebDom1+6)=2),FebDom1+6,""))</f>
        <v>45689</v>
      </c>
      <c r="H5" s="47">
        <f>IF(DAY(FebDom1)=1,IF(AND(YEAR(FebDom1)=AnnoCalendario,MONTH(FebDom1)=2),FebDom1,""),IF(AND(YEAR(FebDom1+7)=AnnoCalendario,MONTH(FebDom1+7)=2),FebDom1+7,""))</f>
        <v>45690</v>
      </c>
      <c r="I5" s="3"/>
      <c r="K5" s="1"/>
      <c r="L5" s="1"/>
      <c r="M5" s="1"/>
      <c r="Q5" s="2"/>
      <c r="R5" s="1"/>
    </row>
    <row r="6" spans="1:18" s="2" customFormat="1" ht="109.95" customHeight="1">
      <c r="A6"/>
      <c r="B6" s="44"/>
      <c r="C6" s="44"/>
      <c r="D6" s="35"/>
      <c r="E6" s="36"/>
      <c r="F6" s="35"/>
      <c r="G6" s="48" t="s">
        <v>37</v>
      </c>
      <c r="H6" s="48" t="s">
        <v>37</v>
      </c>
      <c r="I6" s="3"/>
    </row>
    <row r="7" spans="1:18" ht="15" customHeight="1">
      <c r="A7"/>
      <c r="B7" s="12">
        <f>IF(DAY(FebDom1)=1,IF(AND(YEAR(FebDom1+1)=AnnoCalendario,MONTH(FebDom1+1)=2),FebDom1+1,""),IF(AND(YEAR(FebDom1+8)=AnnoCalendario,MONTH(FebDom1+8)=2),FebDom1+8,""))</f>
        <v>45691</v>
      </c>
      <c r="C7" s="12">
        <f>IF(DAY(FebDom1)=1,IF(AND(YEAR(FebDom1+2)=AnnoCalendario,MONTH(FebDom1+2)=2),FebDom1+2,""),IF(AND(YEAR(FebDom1+9)=AnnoCalendario,MONTH(FebDom1+9)=2),FebDom1+9,""))</f>
        <v>45692</v>
      </c>
      <c r="D7" s="12">
        <f>IF(DAY(FebDom1)=1,IF(AND(YEAR(FebDom1+3)=AnnoCalendario,MONTH(FebDom1+3)=2),FebDom1+3,""),IF(AND(YEAR(FebDom1+10)=AnnoCalendario,MONTH(FebDom1+10)=2),FebDom1+10,""))</f>
        <v>45693</v>
      </c>
      <c r="E7" s="12">
        <f>IF(DAY(FebDom1)=1,IF(AND(YEAR(FebDom1+4)=AnnoCalendario,MONTH(FebDom1+4)=2),FebDom1+4,""),IF(AND(YEAR(FebDom1+11)=AnnoCalendario,MONTH(FebDom1+11)=2),FebDom1+11,""))</f>
        <v>45694</v>
      </c>
      <c r="F7" s="12">
        <f>IF(DAY(FebDom1)=1,IF(AND(YEAR(FebDom1+5)=AnnoCalendario,MONTH(FebDom1+5)=2),FebDom1+5,""),IF(AND(YEAR(FebDom1+12)=AnnoCalendario,MONTH(FebDom1+12)=2),FebDom1+12,""))</f>
        <v>45695</v>
      </c>
      <c r="G7" s="47">
        <f>IF(DAY(FebDom1)=1,IF(AND(YEAR(FebDom1+6)=AnnoCalendario,MONTH(FebDom1+6)=2),FebDom1+6,""),IF(AND(YEAR(FebDom1+13)=AnnoCalendario,MONTH(FebDom1+13)=2),FebDom1+13,""))</f>
        <v>45696</v>
      </c>
      <c r="H7" s="47">
        <f>IF(DAY(FebDom1)=1,IF(AND(YEAR(FebDom1+7)=AnnoCalendario,MONTH(FebDom1+7)=2),FebDom1+7,""),IF(AND(YEAR(FebDom1+14)=AnnoCalendario,MONTH(FebDom1+14)=2),FebDom1+14,""))</f>
        <v>45697</v>
      </c>
      <c r="I7" s="3"/>
    </row>
    <row r="8" spans="1:18" ht="109.95" customHeight="1">
      <c r="A8"/>
      <c r="B8" s="55" t="s">
        <v>29</v>
      </c>
      <c r="C8" s="42" t="s">
        <v>30</v>
      </c>
      <c r="D8" s="55" t="s">
        <v>31</v>
      </c>
      <c r="E8" s="56" t="s">
        <v>32</v>
      </c>
      <c r="F8" s="56" t="s">
        <v>33</v>
      </c>
      <c r="G8" s="48" t="s">
        <v>37</v>
      </c>
      <c r="H8" s="48" t="s">
        <v>37</v>
      </c>
      <c r="I8" s="3"/>
    </row>
    <row r="9" spans="1:18" ht="15" customHeight="1">
      <c r="A9"/>
      <c r="B9" s="37">
        <f>IF(DAY(FebDom1)=1,IF(AND(YEAR(FebDom1+8)=AnnoCalendario,MONTH(FebDom1+8)=2),FebDom1+8,""),IF(AND(YEAR(FebDom1+15)=AnnoCalendario,MONTH(FebDom1+15)=2),FebDom1+15,""))</f>
        <v>45698</v>
      </c>
      <c r="C9" s="37">
        <f>IF(DAY(FebDom1)=1,IF(AND(YEAR(FebDom1+9)=AnnoCalendario,MONTH(FebDom1+9)=2),FebDom1+9,""),IF(AND(YEAR(FebDom1+16)=AnnoCalendario,MONTH(FebDom1+16)=2),FebDom1+16,""))</f>
        <v>45699</v>
      </c>
      <c r="D9" s="37">
        <f>IF(DAY(FebDom1)=1,IF(AND(YEAR(FebDom1+10)=AnnoCalendario,MONTH(FebDom1+10)=2),FebDom1+10,""),IF(AND(YEAR(FebDom1+17)=AnnoCalendario,MONTH(FebDom1+17)=2),FebDom1+17,""))</f>
        <v>45700</v>
      </c>
      <c r="E9" s="37">
        <f>IF(DAY(FebDom1)=1,IF(AND(YEAR(FebDom1+11)=AnnoCalendario,MONTH(FebDom1+11)=2),FebDom1+11,""),IF(AND(YEAR(FebDom1+18)=AnnoCalendario,MONTH(FebDom1+18)=2),FebDom1+18,""))</f>
        <v>45701</v>
      </c>
      <c r="F9" s="37">
        <f>IF(DAY(FebDom1)=1,IF(AND(YEAR(FebDom1+12)=AnnoCalendario,MONTH(FebDom1+12)=2),FebDom1+12,""),IF(AND(YEAR(FebDom1+19)=AnnoCalendario,MONTH(FebDom1+19)=2),FebDom1+19,""))</f>
        <v>45702</v>
      </c>
      <c r="G9" s="49">
        <f>IF(DAY(FebDom1)=1,IF(AND(YEAR(FebDom1+13)=AnnoCalendario,MONTH(FebDom1+13)=2),FebDom1+13,""),IF(AND(YEAR(FebDom1+20)=AnnoCalendario,MONTH(FebDom1+20)=2),FebDom1+20,""))</f>
        <v>45703</v>
      </c>
      <c r="H9" s="49">
        <f>IF(DAY(FebDom1)=1,IF(AND(YEAR(FebDom1+14)=AnnoCalendario,MONTH(FebDom1+14)=2),FebDom1+14,""),IF(AND(YEAR(FebDom1+21)=AnnoCalendario,MONTH(FebDom1+21)=2),FebDom1+21,""))</f>
        <v>45704</v>
      </c>
      <c r="I9" s="3"/>
    </row>
    <row r="10" spans="1:18" ht="109.95" customHeight="1">
      <c r="A10"/>
      <c r="B10" s="55" t="s">
        <v>34</v>
      </c>
      <c r="C10" s="55" t="s">
        <v>35</v>
      </c>
      <c r="D10" s="55" t="s">
        <v>36</v>
      </c>
      <c r="E10" s="42" t="s">
        <v>38</v>
      </c>
      <c r="F10" s="55" t="s">
        <v>39</v>
      </c>
      <c r="G10" s="48" t="s">
        <v>37</v>
      </c>
      <c r="H10" s="48" t="s">
        <v>37</v>
      </c>
      <c r="I10" s="3"/>
    </row>
    <row r="11" spans="1:18" ht="15" customHeight="1">
      <c r="A11"/>
      <c r="B11" s="37">
        <f>IF(DAY(FebDom1)=1,IF(AND(YEAR(FebDom1+15)=AnnoCalendario,MONTH(FebDom1+15)=2),FebDom1+15,""),IF(AND(YEAR(FebDom1+22)=AnnoCalendario,MONTH(FebDom1+22)=2),FebDom1+22,""))</f>
        <v>45705</v>
      </c>
      <c r="C11" s="37">
        <f>IF(DAY(FebDom1)=1,IF(AND(YEAR(FebDom1+16)=AnnoCalendario,MONTH(FebDom1+16)=2),FebDom1+16,""),IF(AND(YEAR(FebDom1+23)=AnnoCalendario,MONTH(FebDom1+23)=2),FebDom1+23,""))</f>
        <v>45706</v>
      </c>
      <c r="D11" s="37">
        <f>IF(DAY(FebDom1)=1,IF(AND(YEAR(FebDom1+17)=AnnoCalendario,MONTH(FebDom1+17)=2),FebDom1+17,""),IF(AND(YEAR(FebDom1+24)=AnnoCalendario,MONTH(FebDom1+24)=2),FebDom1+24,""))</f>
        <v>45707</v>
      </c>
      <c r="E11" s="37">
        <f>IF(DAY(FebDom1)=1,IF(AND(YEAR(FebDom1+18)=AnnoCalendario,MONTH(FebDom1+18)=2),FebDom1+18,""),IF(AND(YEAR(FebDom1+25)=AnnoCalendario,MONTH(FebDom1+25)=2),FebDom1+25,""))</f>
        <v>45708</v>
      </c>
      <c r="F11" s="37">
        <f>IF(DAY(FebDom1)=1,IF(AND(YEAR(FebDom1+19)=AnnoCalendario,MONTH(FebDom1+19)=2),FebDom1+19,""),IF(AND(YEAR(FebDom1+26)=AnnoCalendario,MONTH(FebDom1+26)=2),FebDom1+26,""))</f>
        <v>45709</v>
      </c>
      <c r="G11" s="49">
        <f>IF(DAY(FebDom1)=1,IF(AND(YEAR(FebDom1+20)=AnnoCalendario,MONTH(FebDom1+20)=2),FebDom1+20,""),IF(AND(YEAR(FebDom1+27)=AnnoCalendario,MONTH(FebDom1+27)=2),FebDom1+27,""))</f>
        <v>45710</v>
      </c>
      <c r="H11" s="49">
        <f>IF(DAY(FebDom1)=1,IF(AND(YEAR(FebDom1+21)=AnnoCalendario,MONTH(FebDom1+21)=2),FebDom1+21,""),IF(AND(YEAR(FebDom1+28)=AnnoCalendario,MONTH(FebDom1+28)=2),FebDom1+28,""))</f>
        <v>45711</v>
      </c>
      <c r="I11" s="3"/>
    </row>
    <row r="12" spans="1:18" ht="109.95" customHeight="1">
      <c r="A12"/>
      <c r="B12" s="55" t="s">
        <v>41</v>
      </c>
      <c r="C12" s="55" t="s">
        <v>42</v>
      </c>
      <c r="D12" s="55" t="s">
        <v>43</v>
      </c>
      <c r="E12" s="55" t="s">
        <v>44</v>
      </c>
      <c r="F12" s="55" t="s">
        <v>45</v>
      </c>
      <c r="G12" s="48" t="s">
        <v>37</v>
      </c>
      <c r="H12" s="48" t="s">
        <v>37</v>
      </c>
      <c r="I12" s="3"/>
    </row>
    <row r="13" spans="1:18" ht="15" customHeight="1">
      <c r="A13"/>
      <c r="B13" s="37">
        <f>IF(DAY(FebDom1)=1,IF(AND(YEAR(FebDom1+22)=AnnoCalendario,MONTH(FebDom1+22)=2),FebDom1+22,""),IF(AND(YEAR(FebDom1+29)=AnnoCalendario,MONTH(FebDom1+29)=2),FebDom1+29,""))</f>
        <v>45712</v>
      </c>
      <c r="C13" s="37">
        <f>IF(DAY(FebDom1)=1,IF(AND(YEAR(FebDom1+23)=AnnoCalendario,MONTH(FebDom1+23)=2),FebDom1+23,""),IF(AND(YEAR(FebDom1+30)=AnnoCalendario,MONTH(FebDom1+30)=2),FebDom1+30,""))</f>
        <v>45713</v>
      </c>
      <c r="D13" s="37">
        <f>IF(DAY(FebDom1)=1,IF(AND(YEAR(FebDom1+24)=AnnoCalendario,MONTH(FebDom1+24)=2),FebDom1+24,""),IF(AND(YEAR(FebDom1+31)=AnnoCalendario,MONTH(FebDom1+31)=2),FebDom1+31,""))</f>
        <v>45714</v>
      </c>
      <c r="E13" s="37">
        <f>IF(DAY(FebDom1)=1,IF(AND(YEAR(FebDom1+25)=AnnoCalendario,MONTH(FebDom1+25)=2),FebDom1+25,""),IF(AND(YEAR(FebDom1+32)=AnnoCalendario,MONTH(FebDom1+32)=2),FebDom1+32,""))</f>
        <v>45715</v>
      </c>
      <c r="F13" s="37">
        <f>IF(DAY(FebDom1)=1,IF(AND(YEAR(FebDom1+26)=AnnoCalendario,MONTH(FebDom1+26)=2),FebDom1+26,""),IF(AND(YEAR(FebDom1+33)=AnnoCalendario,MONTH(FebDom1+33)=2),FebDom1+33,""))</f>
        <v>45716</v>
      </c>
      <c r="G13" s="49" t="str">
        <f>IF(DAY(FebDom1)=1,IF(AND(YEAR(FebDom1+27)=AnnoCalendario,MONTH(FebDom1+27)=2),FebDom1+27,""),IF(AND(YEAR(FebDom1+34)=AnnoCalendario,MONTH(FebDom1+34)=2),FebDom1+34,""))</f>
        <v/>
      </c>
      <c r="H13" s="49" t="str">
        <f>IF(DAY(FebDom1)=1,IF(AND(YEAR(FebDom1+28)=AnnoCalendario,MONTH(FebDom1+28)=2),FebDom1+28,""),IF(AND(YEAR(FebDom1+35)=AnnoCalendario,MONTH(FebDom1+35)=2),FebDom1+35,""))</f>
        <v/>
      </c>
      <c r="I13" s="3"/>
    </row>
    <row r="14" spans="1:18" ht="109.95" customHeight="1">
      <c r="A14"/>
      <c r="B14" s="42" t="s">
        <v>46</v>
      </c>
      <c r="C14" s="55" t="s">
        <v>47</v>
      </c>
      <c r="D14" s="55" t="s">
        <v>48</v>
      </c>
      <c r="E14" s="55" t="s">
        <v>49</v>
      </c>
      <c r="F14" s="55" t="s">
        <v>50</v>
      </c>
      <c r="G14" s="51"/>
      <c r="H14" s="51"/>
      <c r="I14" s="3"/>
    </row>
    <row r="15" spans="1:18" ht="15" customHeight="1">
      <c r="A15"/>
      <c r="B15" s="13" t="str">
        <f>IF(DAY(FebDom1)=1,IF(AND(YEAR(FebDom1+29)=AnnoCalendario,MONTH(FebDom1+29)=2),FebDom1+29,""),IF(AND(YEAR(FebDom1+36)=AnnoCalendario,MONTH(FebDom1+36)=2),FebDom1+36,""))</f>
        <v/>
      </c>
      <c r="C15" s="14" t="str">
        <f>IF(DAY(FebDom1)=1,IF(AND(YEAR(FebDom1+30)=AnnoCalendario,MONTH(FebDom1+30)=2),FebDom1+30,""),IF(AND(YEAR(FebDom1+37)=AnnoCalendario,MONTH(FebDom1+37)=2),FebDom1+37,""))</f>
        <v/>
      </c>
      <c r="D15" s="31" t="s">
        <v>3</v>
      </c>
      <c r="E15" s="32"/>
      <c r="F15" s="32"/>
      <c r="G15" s="32"/>
      <c r="H15" s="33"/>
      <c r="I15" s="3"/>
    </row>
    <row r="16" spans="1:18" ht="109.95" customHeight="1">
      <c r="A16"/>
      <c r="B16" s="8"/>
      <c r="C16" s="8"/>
      <c r="D16" s="25" t="s">
        <v>269</v>
      </c>
      <c r="E16" s="26"/>
      <c r="F16" s="26"/>
      <c r="G16" s="26"/>
      <c r="H16" s="27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6:H16"/>
    <mergeCell ref="D15:H15"/>
    <mergeCell ref="B3:C3"/>
    <mergeCell ref="D3:J3"/>
  </mergeCells>
  <hyperlinks>
    <hyperlink ref="D16:H16" r:id="rId1" display="https://1drv.ms/b/s!AqJ5MhF8daU4hd1S7SBTxSoJjp3uaw?e=Rfkhym" xr:uid="{5B174083-BD94-074F-BDB6-C57DC0B2B5D8}"/>
    <hyperlink ref="B14" r:id="rId2" xr:uid="{16C4F199-5745-477C-AC06-25FE14CCB2E6}"/>
    <hyperlink ref="E10" r:id="rId3" xr:uid="{46F95537-0704-453D-A5A7-11FD464B42B2}"/>
    <hyperlink ref="C8" r:id="rId4" xr:uid="{8F7653CD-BD8F-458E-BD92-2EAD35C45906}"/>
  </hyperlinks>
  <printOptions horizontalCentered="1" verticalCentered="1"/>
  <pageMargins left="0.2" right="0.2" top="0.25" bottom="0.25" header="0" footer="0"/>
  <pageSetup paperSize="9" scale="98" orientation="landscape" r:id="rId5"/>
  <headerFooter scaleWithDoc="0"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R20"/>
  <sheetViews>
    <sheetView showGridLines="0" zoomScale="42" zoomScaleNormal="100" workbookViewId="0">
      <selection activeCell="B16" sqref="B16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UPPER(TEXT(DATE(AnnoCalendario,3,1),"mmmm aaaa"))</f>
        <v>MARZO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IF(DAY(MarDom1)=1,"",IF(AND(YEAR(MarDom1+1)=AnnoCalendario,MONTH(MarDom1+1)=3),MarDom1+1,""))</f>
        <v/>
      </c>
      <c r="C5" s="34" t="str">
        <f>IF(DAY(MarDom1)=1,"",IF(AND(YEAR(MarDom1+2)=AnnoCalendario,MONTH(MarDom1+2)=3),MarDom1+2,""))</f>
        <v/>
      </c>
      <c r="D5" s="34" t="str">
        <f>IF(DAY(MarDom1)=1,"",IF(AND(YEAR(MarDom1+3)=AnnoCalendario,MONTH(MarDom1+3)=3),MarDom1+3,""))</f>
        <v/>
      </c>
      <c r="E5" s="34" t="str">
        <f>IF(DAY(MarDom1)=1,"",IF(AND(YEAR(MarDom1+4)=AnnoCalendario,MONTH(MarDom1+4)=3),MarDom1+4,""))</f>
        <v/>
      </c>
      <c r="F5" s="34" t="str">
        <f>IF(DAY(MarDom1)=1,"",IF(AND(YEAR(MarDom1+5)=AnnoCalendario,MONTH(MarDom1+5)=3),MarDom1+5,""))</f>
        <v/>
      </c>
      <c r="G5" s="47">
        <f>IF(DAY(MarDom1)=1,"",IF(AND(YEAR(MarDom1+6)=AnnoCalendario,MONTH(MarDom1+6)=3),MarDom1+6,""))</f>
        <v>45717</v>
      </c>
      <c r="H5" s="47">
        <f>IF(DAY(MarDom1)=1,IF(AND(YEAR(MarDom1)=AnnoCalendario,MONTH(MarDom1)=3),MarDom1,""),IF(AND(YEAR(MarDom1+7)=AnnoCalendario,MONTH(MarDom1+7)=3),MarDom1+7,""))</f>
        <v>45718</v>
      </c>
      <c r="I5" s="3"/>
      <c r="K5" s="1"/>
      <c r="L5" s="1"/>
      <c r="M5" s="1"/>
      <c r="Q5" s="2"/>
      <c r="R5" s="1"/>
    </row>
    <row r="6" spans="1:18" s="21" customFormat="1" ht="109.95" customHeight="1">
      <c r="A6" s="19"/>
      <c r="B6" s="54"/>
      <c r="C6" s="54"/>
      <c r="D6" s="35"/>
      <c r="E6" s="35"/>
      <c r="F6" s="35"/>
      <c r="G6" s="48" t="s">
        <v>37</v>
      </c>
      <c r="H6" s="48" t="s">
        <v>37</v>
      </c>
      <c r="I6" s="20"/>
    </row>
    <row r="7" spans="1:18" ht="15" customHeight="1">
      <c r="A7"/>
      <c r="B7" s="34">
        <f>IF(DAY(MarDom1)=1,IF(AND(YEAR(MarDom1+1)=AnnoCalendario,MONTH(MarDom1+1)=3),MarDom1+1,""),IF(AND(YEAR(MarDom1+8)=AnnoCalendario,MONTH(MarDom1+8)=3),MarDom1+8,""))</f>
        <v>45719</v>
      </c>
      <c r="C7" s="34">
        <f>IF(DAY(MarDom1)=1,IF(AND(YEAR(MarDom1+2)=AnnoCalendario,MONTH(MarDom1+2)=3),MarDom1+2,""),IF(AND(YEAR(MarDom1+9)=AnnoCalendario,MONTH(MarDom1+9)=3),MarDom1+9,""))</f>
        <v>45720</v>
      </c>
      <c r="D7" s="34">
        <f>IF(DAY(MarDom1)=1,IF(AND(YEAR(MarDom1+3)=AnnoCalendario,MONTH(MarDom1+3)=3),MarDom1+3,""),IF(AND(YEAR(MarDom1+10)=AnnoCalendario,MONTH(MarDom1+10)=3),MarDom1+10,""))</f>
        <v>45721</v>
      </c>
      <c r="E7" s="34">
        <f>IF(DAY(MarDom1)=1,IF(AND(YEAR(MarDom1+4)=AnnoCalendario,MONTH(MarDom1+4)=3),MarDom1+4,""),IF(AND(YEAR(MarDom1+11)=AnnoCalendario,MONTH(MarDom1+11)=3),MarDom1+11,""))</f>
        <v>45722</v>
      </c>
      <c r="F7" s="34">
        <f>IF(DAY(MarDom1)=1,IF(AND(YEAR(MarDom1+5)=AnnoCalendario,MONTH(MarDom1+5)=3),MarDom1+5,""),IF(AND(YEAR(MarDom1+12)=AnnoCalendario,MONTH(MarDom1+12)=3),MarDom1+12,""))</f>
        <v>45723</v>
      </c>
      <c r="G7" s="47">
        <f>IF(DAY(MarDom1)=1,IF(AND(YEAR(MarDom1+6)=AnnoCalendario,MONTH(MarDom1+6)=3),MarDom1+6,""),IF(AND(YEAR(MarDom1+13)=AnnoCalendario,MONTH(MarDom1+13)=3),MarDom1+13,""))</f>
        <v>45724</v>
      </c>
      <c r="H7" s="47">
        <f>IF(DAY(MarDom1)=1,IF(AND(YEAR(MarDom1+7)=AnnoCalendario,MONTH(MarDom1+7)=3),MarDom1+7,""),IF(AND(YEAR(MarDom1+14)=AnnoCalendario,MONTH(MarDom1+14)=3),MarDom1+14,""))</f>
        <v>45725</v>
      </c>
      <c r="I7" s="3"/>
    </row>
    <row r="8" spans="1:18" s="21" customFormat="1" ht="109.95" customHeight="1">
      <c r="A8" s="19"/>
      <c r="B8" s="55" t="s">
        <v>51</v>
      </c>
      <c r="C8" s="55" t="s">
        <v>52</v>
      </c>
      <c r="D8" s="55" t="s">
        <v>53</v>
      </c>
      <c r="E8" s="55" t="s">
        <v>54</v>
      </c>
      <c r="F8" s="55" t="s">
        <v>55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IF(DAY(MarDom1)=1,IF(AND(YEAR(MarDom1+8)=AnnoCalendario,MONTH(MarDom1+8)=3),MarDom1+8,""),IF(AND(YEAR(MarDom1+15)=AnnoCalendario,MONTH(MarDom1+15)=3),MarDom1+15,""))</f>
        <v>45726</v>
      </c>
      <c r="C9" s="37">
        <f>IF(DAY(MarDom1)=1,IF(AND(YEAR(MarDom1+9)=AnnoCalendario,MONTH(MarDom1+9)=3),MarDom1+9,""),IF(AND(YEAR(MarDom1+16)=AnnoCalendario,MONTH(MarDom1+16)=3),MarDom1+16,""))</f>
        <v>45727</v>
      </c>
      <c r="D9" s="37">
        <f>IF(DAY(MarDom1)=1,IF(AND(YEAR(MarDom1+10)=AnnoCalendario,MONTH(MarDom1+10)=3),MarDom1+10,""),IF(AND(YEAR(MarDom1+17)=AnnoCalendario,MONTH(MarDom1+17)=3),MarDom1+17,""))</f>
        <v>45728</v>
      </c>
      <c r="E9" s="37">
        <f>IF(DAY(MarDom1)=1,IF(AND(YEAR(MarDom1+11)=AnnoCalendario,MONTH(MarDom1+11)=3),MarDom1+11,""),IF(AND(YEAR(MarDom1+18)=AnnoCalendario,MONTH(MarDom1+18)=3),MarDom1+18,""))</f>
        <v>45729</v>
      </c>
      <c r="F9" s="37">
        <f>IF(DAY(MarDom1)=1,IF(AND(YEAR(MarDom1+12)=AnnoCalendario,MONTH(MarDom1+12)=3),MarDom1+12,""),IF(AND(YEAR(MarDom1+19)=AnnoCalendario,MONTH(MarDom1+19)=3),MarDom1+19,""))</f>
        <v>45730</v>
      </c>
      <c r="G9" s="49">
        <f>IF(DAY(MarDom1)=1,IF(AND(YEAR(MarDom1+13)=AnnoCalendario,MONTH(MarDom1+13)=3),MarDom1+13,""),IF(AND(YEAR(MarDom1+20)=AnnoCalendario,MONTH(MarDom1+20)=3),MarDom1+20,""))</f>
        <v>45731</v>
      </c>
      <c r="H9" s="49">
        <f>IF(DAY(MarDom1)=1,IF(AND(YEAR(MarDom1+14)=AnnoCalendario,MONTH(MarDom1+14)=3),MarDom1+14,""),IF(AND(YEAR(MarDom1+21)=AnnoCalendario,MONTH(MarDom1+21)=3),MarDom1+21,""))</f>
        <v>45732</v>
      </c>
      <c r="I9" s="3"/>
    </row>
    <row r="10" spans="1:18" s="21" customFormat="1" ht="109.95" customHeight="1">
      <c r="A10" s="19"/>
      <c r="B10" s="55" t="s">
        <v>56</v>
      </c>
      <c r="C10" s="42" t="s">
        <v>57</v>
      </c>
      <c r="D10" s="55" t="s">
        <v>58</v>
      </c>
      <c r="E10" s="55" t="s">
        <v>59</v>
      </c>
      <c r="F10" s="55" t="s">
        <v>60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IF(DAY(MarDom1)=1,IF(AND(YEAR(MarDom1+15)=AnnoCalendario,MONTH(MarDom1+15)=3),MarDom1+15,""),IF(AND(YEAR(MarDom1+22)=AnnoCalendario,MONTH(MarDom1+22)=3),MarDom1+22,""))</f>
        <v>45733</v>
      </c>
      <c r="C11" s="37">
        <f>IF(DAY(MarDom1)=1,IF(AND(YEAR(MarDom1+16)=AnnoCalendario,MONTH(MarDom1+16)=3),MarDom1+16,""),IF(AND(YEAR(MarDom1+23)=AnnoCalendario,MONTH(MarDom1+23)=3),MarDom1+23,""))</f>
        <v>45734</v>
      </c>
      <c r="D11" s="37">
        <f>IF(DAY(MarDom1)=1,IF(AND(YEAR(MarDom1+17)=AnnoCalendario,MONTH(MarDom1+17)=3),MarDom1+17,""),IF(AND(YEAR(MarDom1+24)=AnnoCalendario,MONTH(MarDom1+24)=3),MarDom1+24,""))</f>
        <v>45735</v>
      </c>
      <c r="E11" s="37">
        <f>IF(DAY(MarDom1)=1,IF(AND(YEAR(MarDom1+18)=AnnoCalendario,MONTH(MarDom1+18)=3),MarDom1+18,""),IF(AND(YEAR(MarDom1+25)=AnnoCalendario,MONTH(MarDom1+25)=3),MarDom1+25,""))</f>
        <v>45736</v>
      </c>
      <c r="F11" s="37">
        <f>IF(DAY(MarDom1)=1,IF(AND(YEAR(MarDom1+19)=AnnoCalendario,MONTH(MarDom1+19)=3),MarDom1+19,""),IF(AND(YEAR(MarDom1+26)=AnnoCalendario,MONTH(MarDom1+26)=3),MarDom1+26,""))</f>
        <v>45737</v>
      </c>
      <c r="G11" s="49">
        <f>IF(DAY(MarDom1)=1,IF(AND(YEAR(MarDom1+20)=AnnoCalendario,MONTH(MarDom1+20)=3),MarDom1+20,""),IF(AND(YEAR(MarDom1+27)=AnnoCalendario,MONTH(MarDom1+27)=3),MarDom1+27,""))</f>
        <v>45738</v>
      </c>
      <c r="H11" s="49">
        <f>IF(DAY(MarDom1)=1,IF(AND(YEAR(MarDom1+21)=AnnoCalendario,MONTH(MarDom1+21)=3),MarDom1+21,""),IF(AND(YEAR(MarDom1+28)=AnnoCalendario,MONTH(MarDom1+28)=3),MarDom1+28,""))</f>
        <v>45739</v>
      </c>
      <c r="I11" s="3"/>
    </row>
    <row r="12" spans="1:18" s="21" customFormat="1" ht="109.95" customHeight="1">
      <c r="A12" s="19"/>
      <c r="B12" s="55" t="s">
        <v>61</v>
      </c>
      <c r="C12" s="55" t="s">
        <v>62</v>
      </c>
      <c r="D12" s="55" t="s">
        <v>63</v>
      </c>
      <c r="E12" s="55" t="s">
        <v>64</v>
      </c>
      <c r="F12" s="55" t="s">
        <v>65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IF(DAY(MarDom1)=1,IF(AND(YEAR(MarDom1+22)=AnnoCalendario,MONTH(MarDom1+22)=3),MarDom1+22,""),IF(AND(YEAR(MarDom1+29)=AnnoCalendario,MONTH(MarDom1+29)=3),MarDom1+29,""))</f>
        <v>45740</v>
      </c>
      <c r="C13" s="37">
        <f>IF(DAY(MarDom1)=1,IF(AND(YEAR(MarDom1+23)=AnnoCalendario,MONTH(MarDom1+23)=3),MarDom1+23,""),IF(AND(YEAR(MarDom1+30)=AnnoCalendario,MONTH(MarDom1+30)=3),MarDom1+30,""))</f>
        <v>45741</v>
      </c>
      <c r="D13" s="37">
        <f>IF(DAY(MarDom1)=1,IF(AND(YEAR(MarDom1+24)=AnnoCalendario,MONTH(MarDom1+24)=3),MarDom1+24,""),IF(AND(YEAR(MarDom1+31)=AnnoCalendario,MONTH(MarDom1+31)=3),MarDom1+31,""))</f>
        <v>45742</v>
      </c>
      <c r="E13" s="37">
        <f>IF(DAY(MarDom1)=1,IF(AND(YEAR(MarDom1+25)=AnnoCalendario,MONTH(MarDom1+25)=3),MarDom1+25,""),IF(AND(YEAR(MarDom1+32)=AnnoCalendario,MONTH(MarDom1+32)=3),MarDom1+32,""))</f>
        <v>45743</v>
      </c>
      <c r="F13" s="37">
        <f>IF(DAY(MarDom1)=1,IF(AND(YEAR(MarDom1+26)=AnnoCalendario,MONTH(MarDom1+26)=3),MarDom1+26,""),IF(AND(YEAR(MarDom1+33)=AnnoCalendario,MONTH(MarDom1+33)=3),MarDom1+33,""))</f>
        <v>45744</v>
      </c>
      <c r="G13" s="49">
        <f>IF(DAY(MarDom1)=1,IF(AND(YEAR(MarDom1+27)=AnnoCalendario,MONTH(MarDom1+27)=3),MarDom1+27,""),IF(AND(YEAR(MarDom1+34)=AnnoCalendario,MONTH(MarDom1+34)=3),MarDom1+34,""))</f>
        <v>45745</v>
      </c>
      <c r="H13" s="49">
        <f>IF(DAY(MarDom1)=1,IF(AND(YEAR(MarDom1+28)=AnnoCalendario,MONTH(MarDom1+28)=3),MarDom1+28,""),IF(AND(YEAR(MarDom1+35)=AnnoCalendario,MONTH(MarDom1+35)=3),MarDom1+35,""))</f>
        <v>45746</v>
      </c>
      <c r="I13" s="3"/>
    </row>
    <row r="14" spans="1:18" s="21" customFormat="1" ht="109.95" customHeight="1">
      <c r="A14" s="19"/>
      <c r="B14" s="55" t="s">
        <v>66</v>
      </c>
      <c r="C14" s="55" t="s">
        <v>67</v>
      </c>
      <c r="D14" s="55" t="s">
        <v>68</v>
      </c>
      <c r="E14" s="55" t="s">
        <v>69</v>
      </c>
      <c r="F14" s="55" t="s">
        <v>70</v>
      </c>
      <c r="G14" s="48" t="s">
        <v>37</v>
      </c>
      <c r="H14" s="48" t="s">
        <v>37</v>
      </c>
      <c r="I14" s="20"/>
    </row>
    <row r="15" spans="1:18" ht="15" customHeight="1">
      <c r="A15"/>
      <c r="B15" s="13">
        <f>IF(DAY(MarDom1)=1,IF(AND(YEAR(MarDom1+29)=AnnoCalendario,MONTH(MarDom1+29)=3),MarDom1+29,""),IF(AND(YEAR(MarDom1+36)=AnnoCalendario,MONTH(MarDom1+36)=3),MarDom1+36,""))</f>
        <v>45747</v>
      </c>
      <c r="C15" s="14" t="str">
        <f>IF(DAY(MarDom1)=1,IF(AND(YEAR(MarDom1+30)=AnnoCalendario,MONTH(MarDom1+30)=3),MarDom1+30,""),IF(AND(YEAR(MarDom1+37)=AnnoCalendario,MONTH(MarDom1+37)=3),MarDom1+37,""))</f>
        <v/>
      </c>
      <c r="D15" s="28" t="s">
        <v>3</v>
      </c>
      <c r="E15" s="29"/>
      <c r="F15" s="29"/>
      <c r="G15" s="29"/>
      <c r="H15" s="30"/>
      <c r="I15" s="3"/>
    </row>
    <row r="16" spans="1:18" ht="109.95" customHeight="1">
      <c r="A16"/>
      <c r="B16" s="55" t="s">
        <v>71</v>
      </c>
      <c r="C16" s="8"/>
      <c r="D16" s="25" t="s">
        <v>269</v>
      </c>
      <c r="E16" s="26"/>
      <c r="F16" s="26"/>
      <c r="G16" s="26"/>
      <c r="H16" s="27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01FD839B-6387-2B45-9E59-64B322D239D3}"/>
    <hyperlink ref="C10" r:id="rId2" xr:uid="{6007181F-AE3F-48FD-9E35-987C61B619BA}"/>
  </hyperlinks>
  <printOptions horizontalCentered="1" verticalCentered="1"/>
  <pageMargins left="0.2" right="0.2" top="0.25" bottom="0.25" header="0" footer="0"/>
  <pageSetup paperSize="9" scale="98" orientation="landscape" r:id="rId3"/>
  <headerFooter scaleWithDoc="0"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14999847407452621"/>
    <pageSetUpPr fitToPage="1"/>
  </sheetPr>
  <dimension ref="A1:R20"/>
  <sheetViews>
    <sheetView showGridLines="0" topLeftCell="A8" zoomScale="75" zoomScaleNormal="100" workbookViewId="0">
      <selection activeCell="D14" sqref="B14:D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UPPER(TEXT(DATE(AnnoCalendario,4,1),"mmmm aaaa"))</f>
        <v>APRILE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IF(DAY(AprDom1)=1,"",IF(AND(YEAR(AprDom1+1)=AnnoCalendario,MONTH(AprDom1+1)=4),AprDom1+1,""))</f>
        <v/>
      </c>
      <c r="C5" s="34">
        <f>IF(DAY(AprDom1)=1,"",IF(AND(YEAR(AprDom1+2)=AnnoCalendario,MONTH(AprDom1+2)=4),AprDom1+2,""))</f>
        <v>45748</v>
      </c>
      <c r="D5" s="34">
        <f>IF(DAY(AprDom1)=1,"",IF(AND(YEAR(AprDom1+3)=AnnoCalendario,MONTH(AprDom1+3)=4),AprDom1+3,""))</f>
        <v>45749</v>
      </c>
      <c r="E5" s="34">
        <f>IF(DAY(AprDom1)=1,"",IF(AND(YEAR(AprDom1+4)=AnnoCalendario,MONTH(AprDom1+4)=4),AprDom1+4,""))</f>
        <v>45750</v>
      </c>
      <c r="F5" s="34">
        <f>IF(DAY(AprDom1)=1,"",IF(AND(YEAR(AprDom1+5)=AnnoCalendario,MONTH(AprDom1+5)=4),AprDom1+5,""))</f>
        <v>45751</v>
      </c>
      <c r="G5" s="47">
        <f>IF(DAY(AprDom1)=1,"",IF(AND(YEAR(AprDom1+6)=AnnoCalendario,MONTH(AprDom1+6)=4),AprDom1+6,""))</f>
        <v>45752</v>
      </c>
      <c r="H5" s="47">
        <f>IF(DAY(AprDom1)=1,IF(AND(YEAR(AprDom1)=AnnoCalendario,MONTH(AprDom1)=4),AprDom1,""),IF(AND(YEAR(AprDom1+7)=AnnoCalendario,MONTH(AprDom1+7)=4),AprDom1+7,""))</f>
        <v>45753</v>
      </c>
      <c r="I5" s="3"/>
      <c r="K5" s="1"/>
      <c r="L5" s="1"/>
      <c r="M5" s="1"/>
      <c r="Q5" s="2"/>
      <c r="R5" s="1"/>
    </row>
    <row r="6" spans="1:18" s="21" customFormat="1" ht="109.95" customHeight="1">
      <c r="A6" s="19"/>
      <c r="B6" s="54"/>
      <c r="C6" s="55" t="s">
        <v>103</v>
      </c>
      <c r="D6" s="55" t="s">
        <v>72</v>
      </c>
      <c r="E6" s="55" t="s">
        <v>73</v>
      </c>
      <c r="F6" s="55" t="s">
        <v>74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IF(DAY(AprDom1)=1,IF(AND(YEAR(AprDom1+1)=AnnoCalendario,MONTH(AprDom1+1)=4),AprDom1+1,""),IF(AND(YEAR(AprDom1+8)=AnnoCalendario,MONTH(AprDom1+8)=4),AprDom1+8,""))</f>
        <v>45754</v>
      </c>
      <c r="C7" s="34">
        <f>IF(DAY(AprDom1)=1,IF(AND(YEAR(AprDom1+2)=AnnoCalendario,MONTH(AprDom1+2)=4),AprDom1+2,""),IF(AND(YEAR(AprDom1+9)=AnnoCalendario,MONTH(AprDom1+9)=4),AprDom1+9,""))</f>
        <v>45755</v>
      </c>
      <c r="D7" s="34">
        <f>IF(DAY(AprDom1)=1,IF(AND(YEAR(AprDom1+3)=AnnoCalendario,MONTH(AprDom1+3)=4),AprDom1+3,""),IF(AND(YEAR(AprDom1+10)=AnnoCalendario,MONTH(AprDom1+10)=4),AprDom1+10,""))</f>
        <v>45756</v>
      </c>
      <c r="E7" s="34">
        <f>IF(DAY(AprDom1)=1,IF(AND(YEAR(AprDom1+4)=AnnoCalendario,MONTH(AprDom1+4)=4),AprDom1+4,""),IF(AND(YEAR(AprDom1+11)=AnnoCalendario,MONTH(AprDom1+11)=4),AprDom1+11,""))</f>
        <v>45757</v>
      </c>
      <c r="F7" s="34">
        <f>IF(DAY(AprDom1)=1,IF(AND(YEAR(AprDom1+5)=AnnoCalendario,MONTH(AprDom1+5)=4),AprDom1+5,""),IF(AND(YEAR(AprDom1+12)=AnnoCalendario,MONTH(AprDom1+12)=4),AprDom1+12,""))</f>
        <v>45758</v>
      </c>
      <c r="G7" s="47">
        <f>IF(DAY(AprDom1)=1,IF(AND(YEAR(AprDom1+6)=AnnoCalendario,MONTH(AprDom1+6)=4),AprDom1+6,""),IF(AND(YEAR(AprDom1+13)=AnnoCalendario,MONTH(AprDom1+13)=4),AprDom1+13,""))</f>
        <v>45759</v>
      </c>
      <c r="H7" s="47">
        <f>IF(DAY(AprDom1)=1,IF(AND(YEAR(AprDom1+7)=AnnoCalendario,MONTH(AprDom1+7)=4),AprDom1+7,""),IF(AND(YEAR(AprDom1+14)=AnnoCalendario,MONTH(AprDom1+14)=4),AprDom1+14,""))</f>
        <v>45760</v>
      </c>
      <c r="I7" s="3"/>
    </row>
    <row r="8" spans="1:18" s="21" customFormat="1" ht="109.95" customHeight="1">
      <c r="A8" s="19"/>
      <c r="B8" s="42" t="s">
        <v>75</v>
      </c>
      <c r="C8" s="55" t="s">
        <v>76</v>
      </c>
      <c r="D8" s="55" t="s">
        <v>77</v>
      </c>
      <c r="E8" s="42" t="s">
        <v>78</v>
      </c>
      <c r="F8" s="55" t="s">
        <v>79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IF(DAY(AprDom1)=1,IF(AND(YEAR(AprDom1+8)=AnnoCalendario,MONTH(AprDom1+8)=4),AprDom1+8,""),IF(AND(YEAR(AprDom1+15)=AnnoCalendario,MONTH(AprDom1+15)=4),AprDom1+15,""))</f>
        <v>45761</v>
      </c>
      <c r="C9" s="37">
        <f>IF(DAY(AprDom1)=1,IF(AND(YEAR(AprDom1+9)=AnnoCalendario,MONTH(AprDom1+9)=4),AprDom1+9,""),IF(AND(YEAR(AprDom1+16)=AnnoCalendario,MONTH(AprDom1+16)=4),AprDom1+16,""))</f>
        <v>45762</v>
      </c>
      <c r="D9" s="37">
        <f>IF(DAY(AprDom1)=1,IF(AND(YEAR(AprDom1+10)=AnnoCalendario,MONTH(AprDom1+10)=4),AprDom1+10,""),IF(AND(YEAR(AprDom1+17)=AnnoCalendario,MONTH(AprDom1+17)=4),AprDom1+17,""))</f>
        <v>45763</v>
      </c>
      <c r="E9" s="37">
        <f>IF(DAY(AprDom1)=1,IF(AND(YEAR(AprDom1+11)=AnnoCalendario,MONTH(AprDom1+11)=4),AprDom1+11,""),IF(AND(YEAR(AprDom1+18)=AnnoCalendario,MONTH(AprDom1+18)=4),AprDom1+18,""))</f>
        <v>45764</v>
      </c>
      <c r="F9" s="37">
        <f>IF(DAY(AprDom1)=1,IF(AND(YEAR(AprDom1+12)=AnnoCalendario,MONTH(AprDom1+12)=4),AprDom1+12,""),IF(AND(YEAR(AprDom1+19)=AnnoCalendario,MONTH(AprDom1+19)=4),AprDom1+19,""))</f>
        <v>45765</v>
      </c>
      <c r="G9" s="49">
        <f>IF(DAY(AprDom1)=1,IF(AND(YEAR(AprDom1+13)=AnnoCalendario,MONTH(AprDom1+13)=4),AprDom1+13,""),IF(AND(YEAR(AprDom1+20)=AnnoCalendario,MONTH(AprDom1+20)=4),AprDom1+20,""))</f>
        <v>45766</v>
      </c>
      <c r="H9" s="49">
        <f>IF(DAY(AprDom1)=1,IF(AND(YEAR(AprDom1+14)=AnnoCalendario,MONTH(AprDom1+14)=4),AprDom1+14,""),IF(AND(YEAR(AprDom1+21)=AnnoCalendario,MONTH(AprDom1+21)=4),AprDom1+21,""))</f>
        <v>45767</v>
      </c>
      <c r="I9" s="3"/>
    </row>
    <row r="10" spans="1:18" s="21" customFormat="1" ht="109.95" customHeight="1">
      <c r="A10" s="19"/>
      <c r="B10" s="55" t="s">
        <v>80</v>
      </c>
      <c r="C10" s="42" t="s">
        <v>81</v>
      </c>
      <c r="D10" s="55" t="s">
        <v>82</v>
      </c>
      <c r="E10" s="55" t="s">
        <v>83</v>
      </c>
      <c r="F10" s="55" t="s">
        <v>84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IF(DAY(AprDom1)=1,IF(AND(YEAR(AprDom1+15)=AnnoCalendario,MONTH(AprDom1+15)=4),AprDom1+15,""),IF(AND(YEAR(AprDom1+22)=AnnoCalendario,MONTH(AprDom1+22)=4),AprDom1+22,""))</f>
        <v>45768</v>
      </c>
      <c r="C11" s="37">
        <f>IF(DAY(AprDom1)=1,IF(AND(YEAR(AprDom1+16)=AnnoCalendario,MONTH(AprDom1+16)=4),AprDom1+16,""),IF(AND(YEAR(AprDom1+23)=AnnoCalendario,MONTH(AprDom1+23)=4),AprDom1+23,""))</f>
        <v>45769</v>
      </c>
      <c r="D11" s="37">
        <f>IF(DAY(AprDom1)=1,IF(AND(YEAR(AprDom1+17)=AnnoCalendario,MONTH(AprDom1+17)=4),AprDom1+17,""),IF(AND(YEAR(AprDom1+24)=AnnoCalendario,MONTH(AprDom1+24)=4),AprDom1+24,""))</f>
        <v>45770</v>
      </c>
      <c r="E11" s="37">
        <f>IF(DAY(AprDom1)=1,IF(AND(YEAR(AprDom1+18)=AnnoCalendario,MONTH(AprDom1+18)=4),AprDom1+18,""),IF(AND(YEAR(AprDom1+25)=AnnoCalendario,MONTH(AprDom1+25)=4),AprDom1+25,""))</f>
        <v>45771</v>
      </c>
      <c r="F11" s="37">
        <f>IF(DAY(AprDom1)=1,IF(AND(YEAR(AprDom1+19)=AnnoCalendario,MONTH(AprDom1+19)=4),AprDom1+19,""),IF(AND(YEAR(AprDom1+26)=AnnoCalendario,MONTH(AprDom1+26)=4),AprDom1+26,""))</f>
        <v>45772</v>
      </c>
      <c r="G11" s="49">
        <f>IF(DAY(AprDom1)=1,IF(AND(YEAR(AprDom1+20)=AnnoCalendario,MONTH(AprDom1+20)=4),AprDom1+20,""),IF(AND(YEAR(AprDom1+27)=AnnoCalendario,MONTH(AprDom1+27)=4),AprDom1+27,""))</f>
        <v>45773</v>
      </c>
      <c r="H11" s="49">
        <f>IF(DAY(AprDom1)=1,IF(AND(YEAR(AprDom1+21)=AnnoCalendario,MONTH(AprDom1+21)=4),AprDom1+21,""),IF(AND(YEAR(AprDom1+28)=AnnoCalendario,MONTH(AprDom1+28)=4),AprDom1+28,""))</f>
        <v>45774</v>
      </c>
      <c r="I11" s="3"/>
    </row>
    <row r="12" spans="1:18" s="21" customFormat="1" ht="109.95" customHeight="1">
      <c r="A12" s="19"/>
      <c r="B12" s="55" t="s">
        <v>85</v>
      </c>
      <c r="C12" s="42" t="s">
        <v>86</v>
      </c>
      <c r="D12" s="55" t="s">
        <v>87</v>
      </c>
      <c r="E12" s="55" t="s">
        <v>88</v>
      </c>
      <c r="F12" s="55" t="s">
        <v>89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IF(DAY(AprDom1)=1,IF(AND(YEAR(AprDom1+22)=AnnoCalendario,MONTH(AprDom1+22)=4),AprDom1+22,""),IF(AND(YEAR(AprDom1+29)=AnnoCalendario,MONTH(AprDom1+29)=4),AprDom1+29,""))</f>
        <v>45775</v>
      </c>
      <c r="C13" s="37">
        <f>IF(DAY(AprDom1)=1,IF(AND(YEAR(AprDom1+23)=AnnoCalendario,MONTH(AprDom1+23)=4),AprDom1+23,""),IF(AND(YEAR(AprDom1+30)=AnnoCalendario,MONTH(AprDom1+30)=4),AprDom1+30,""))</f>
        <v>45776</v>
      </c>
      <c r="D13" s="37">
        <f>IF(DAY(AprDom1)=1,IF(AND(YEAR(AprDom1+24)=AnnoCalendario,MONTH(AprDom1+24)=4),AprDom1+24,""),IF(AND(YEAR(AprDom1+31)=AnnoCalendario,MONTH(AprDom1+31)=4),AprDom1+31,""))</f>
        <v>45777</v>
      </c>
      <c r="E13" s="37" t="str">
        <f>IF(DAY(AprDom1)=1,IF(AND(YEAR(AprDom1+25)=AnnoCalendario,MONTH(AprDom1+25)=4),AprDom1+25,""),IF(AND(YEAR(AprDom1+32)=AnnoCalendario,MONTH(AprDom1+32)=4),AprDom1+32,""))</f>
        <v/>
      </c>
      <c r="F13" s="37" t="str">
        <f>IF(DAY(AprDom1)=1,IF(AND(YEAR(AprDom1+26)=AnnoCalendario,MONTH(AprDom1+26)=4),AprDom1+26,""),IF(AND(YEAR(AprDom1+33)=AnnoCalendario,MONTH(AprDom1+33)=4),AprDom1+33,""))</f>
        <v/>
      </c>
      <c r="G13" s="49" t="str">
        <f>IF(DAY(AprDom1)=1,IF(AND(YEAR(AprDom1+27)=AnnoCalendario,MONTH(AprDom1+27)=4),AprDom1+27,""),IF(AND(YEAR(AprDom1+34)=AnnoCalendario,MONTH(AprDom1+34)=4),AprDom1+34,""))</f>
        <v/>
      </c>
      <c r="H13" s="49" t="str">
        <f>IF(DAY(AprDom1)=1,IF(AND(YEAR(AprDom1+28)=AnnoCalendario,MONTH(AprDom1+28)=4),AprDom1+28,""),IF(AND(YEAR(AprDom1+35)=AnnoCalendario,MONTH(AprDom1+35)=4),AprDom1+35,""))</f>
        <v/>
      </c>
      <c r="I13" s="3"/>
    </row>
    <row r="14" spans="1:18" s="21" customFormat="1" ht="109.95" customHeight="1">
      <c r="A14" s="19"/>
      <c r="B14" s="55" t="s">
        <v>90</v>
      </c>
      <c r="C14" s="42" t="s">
        <v>91</v>
      </c>
      <c r="D14" s="55" t="s">
        <v>92</v>
      </c>
      <c r="E14" s="36"/>
      <c r="F14" s="35"/>
      <c r="G14" s="48" t="s">
        <v>37</v>
      </c>
      <c r="H14" s="48" t="s">
        <v>37</v>
      </c>
      <c r="I14" s="20"/>
    </row>
    <row r="15" spans="1:18" ht="15" customHeight="1">
      <c r="A15"/>
      <c r="B15" s="13" t="str">
        <f>IF(DAY(AprDom1)=1,IF(AND(YEAR(AprDom1+29)=AnnoCalendario,MONTH(AprDom1+29)=4),AprDom1+29,""),IF(AND(YEAR(AprDom1+36)=AnnoCalendario,MONTH(AprDom1+36)=4),AprDom1+36,""))</f>
        <v/>
      </c>
      <c r="C15" s="14" t="str">
        <f>IF(DAY(AprDom1)=1,IF(AND(YEAR(AprDom1+30)=AnnoCalendario,MONTH(AprDom1+30)=4),AprDom1+30,""),IF(AND(YEAR(AprDom1+37)=AnnoCalendario,MONTH(AprDom1+37)=4),AprDom1+37,""))</f>
        <v/>
      </c>
      <c r="D15" s="28" t="s">
        <v>3</v>
      </c>
      <c r="E15" s="29"/>
      <c r="F15" s="29"/>
      <c r="G15" s="29"/>
      <c r="H15" s="30"/>
      <c r="I15" s="3"/>
    </row>
    <row r="16" spans="1:18" s="21" customFormat="1" ht="109.95" customHeight="1">
      <c r="A16" s="19"/>
      <c r="B16" s="17"/>
      <c r="C16" s="17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88F9E6C3-2E7F-BB46-BE91-7299A6D4A3D0}"/>
    <hyperlink ref="B8" r:id="rId2" display="GEDEONE" xr:uid="{9EFA4C83-EAAC-4F1F-81EB-5322E118DF8D}"/>
    <hyperlink ref="E8" r:id="rId3" xr:uid="{F9BEB74F-9138-4964-B9DF-FEA3C97C261F}"/>
    <hyperlink ref="C12" r:id="rId4" xr:uid="{65D38184-A967-4FFE-8767-993EAD7CE3DD}"/>
    <hyperlink ref="C14" r:id="rId5" xr:uid="{0AB6F747-3CF6-40CB-9645-0A454A5029E7}"/>
  </hyperlinks>
  <printOptions horizontalCentered="1" verticalCentered="1"/>
  <pageMargins left="0.2" right="0.2" top="0.25" bottom="0.25" header="0" footer="0"/>
  <pageSetup paperSize="9" scale="98" orientation="landscape" r:id="rId6"/>
  <headerFooter scaleWithDoc="0" alignWithMargins="0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4.9989318521683403E-2"/>
    <pageSetUpPr fitToPage="1"/>
  </sheetPr>
  <dimension ref="A1:R20"/>
  <sheetViews>
    <sheetView showGridLines="0" zoomScale="81" zoomScaleNormal="100" workbookViewId="0">
      <selection activeCell="B14" sqref="B14:F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UPPER(TEXT(DATE(AnnoCalendario,5,1),"mmmm aaaa"))</f>
        <v>MAGGIO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IF(DAY(MagDom1)=1,"",IF(AND(YEAR(MagDom1+1)=AnnoCalendario,MONTH(MagDom1+1)=5),MagDom1+1,""))</f>
        <v/>
      </c>
      <c r="C5" s="34" t="str">
        <f>IF(DAY(MagDom1)=1,"",IF(AND(YEAR(MagDom1+2)=AnnoCalendario,MONTH(MagDom1+2)=5),MagDom1+2,""))</f>
        <v/>
      </c>
      <c r="D5" s="34" t="str">
        <f>IF(DAY(MagDom1)=1,"",IF(AND(YEAR(MagDom1+3)=AnnoCalendario,MONTH(MagDom1+3)=5),MagDom1+3,""))</f>
        <v/>
      </c>
      <c r="E5" s="34">
        <f>IF(DAY(MagDom1)=1,"",IF(AND(YEAR(MagDom1+4)=AnnoCalendario,MONTH(MagDom1+4)=5),MagDom1+4,""))</f>
        <v>45778</v>
      </c>
      <c r="F5" s="34">
        <f>IF(DAY(MagDom1)=1,"",IF(AND(YEAR(MagDom1+5)=AnnoCalendario,MONTH(MagDom1+5)=5),MagDom1+5,""))</f>
        <v>45779</v>
      </c>
      <c r="G5" s="47">
        <f>IF(DAY(MagDom1)=1,"",IF(AND(YEAR(MagDom1+6)=AnnoCalendario,MONTH(MagDom1+6)=5),MagDom1+6,""))</f>
        <v>45780</v>
      </c>
      <c r="H5" s="47">
        <f>IF(DAY(MagDom1)=1,IF(AND(YEAR(MagDom1)=AnnoCalendario,MONTH(MagDom1)=5),MagDom1,""),IF(AND(YEAR(MagDom1+7)=AnnoCalendario,MONTH(MagDom1+7)=5),MagDom1+7,""))</f>
        <v>45781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35"/>
      <c r="C6" s="36"/>
      <c r="D6" s="55" t="s">
        <v>93</v>
      </c>
      <c r="E6" s="42" t="s">
        <v>94</v>
      </c>
      <c r="F6" s="55" t="s">
        <v>95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IF(DAY(MagDom1)=1,IF(AND(YEAR(MagDom1+1)=AnnoCalendario,MONTH(MagDom1+1)=5),MagDom1+1,""),IF(AND(YEAR(MagDom1+8)=AnnoCalendario,MONTH(MagDom1+8)=5),MagDom1+8,""))</f>
        <v>45782</v>
      </c>
      <c r="C7" s="34">
        <f>IF(DAY(MagDom1)=1,IF(AND(YEAR(MagDom1+2)=AnnoCalendario,MONTH(MagDom1+2)=5),MagDom1+2,""),IF(AND(YEAR(MagDom1+9)=AnnoCalendario,MONTH(MagDom1+9)=5),MagDom1+9,""))</f>
        <v>45783</v>
      </c>
      <c r="D7" s="34">
        <f>IF(DAY(MagDom1)=1,IF(AND(YEAR(MagDom1+3)=AnnoCalendario,MONTH(MagDom1+3)=5),MagDom1+3,""),IF(AND(YEAR(MagDom1+10)=AnnoCalendario,MONTH(MagDom1+10)=5),MagDom1+10,""))</f>
        <v>45784</v>
      </c>
      <c r="E7" s="34">
        <f>IF(DAY(MagDom1)=1,IF(AND(YEAR(MagDom1+4)=AnnoCalendario,MONTH(MagDom1+4)=5),MagDom1+4,""),IF(AND(YEAR(MagDom1+11)=AnnoCalendario,MONTH(MagDom1+11)=5),MagDom1+11,""))</f>
        <v>45785</v>
      </c>
      <c r="F7" s="34">
        <f>IF(DAY(MagDom1)=1,IF(AND(YEAR(MagDom1+5)=AnnoCalendario,MONTH(MagDom1+5)=5),MagDom1+5,""),IF(AND(YEAR(MagDom1+12)=AnnoCalendario,MONTH(MagDom1+12)=5),MagDom1+12,""))</f>
        <v>45786</v>
      </c>
      <c r="G7" s="47">
        <f>IF(DAY(MagDom1)=1,IF(AND(YEAR(MagDom1+6)=AnnoCalendario,MONTH(MagDom1+6)=5),MagDom1+6,""),IF(AND(YEAR(MagDom1+13)=AnnoCalendario,MONTH(MagDom1+13)=5),MagDom1+13,""))</f>
        <v>45787</v>
      </c>
      <c r="H7" s="47">
        <f>IF(DAY(MagDom1)=1,IF(AND(YEAR(MagDom1+7)=AnnoCalendario,MONTH(MagDom1+7)=5),MagDom1+7,""),IF(AND(YEAR(MagDom1+14)=AnnoCalendario,MONTH(MagDom1+14)=5),MagDom1+14,""))</f>
        <v>45788</v>
      </c>
      <c r="I7" s="3"/>
    </row>
    <row r="8" spans="1:18" s="23" customFormat="1" ht="109.95" customHeight="1">
      <c r="A8" s="22"/>
      <c r="B8" s="55" t="s">
        <v>96</v>
      </c>
      <c r="C8" s="55" t="s">
        <v>97</v>
      </c>
      <c r="D8" s="55" t="s">
        <v>98</v>
      </c>
      <c r="E8" s="55" t="s">
        <v>99</v>
      </c>
      <c r="F8" s="42" t="s">
        <v>100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IF(DAY(MagDom1)=1,IF(AND(YEAR(MagDom1+8)=AnnoCalendario,MONTH(MagDom1+8)=5),MagDom1+8,""),IF(AND(YEAR(MagDom1+15)=AnnoCalendario,MONTH(MagDom1+15)=5),MagDom1+15,""))</f>
        <v>45789</v>
      </c>
      <c r="C9" s="37">
        <f>IF(DAY(MagDom1)=1,IF(AND(YEAR(MagDom1+9)=AnnoCalendario,MONTH(MagDom1+9)=5),MagDom1+9,""),IF(AND(YEAR(MagDom1+16)=AnnoCalendario,MONTH(MagDom1+16)=5),MagDom1+16,""))</f>
        <v>45790</v>
      </c>
      <c r="D9" s="37">
        <f>IF(DAY(MagDom1)=1,IF(AND(YEAR(MagDom1+10)=AnnoCalendario,MONTH(MagDom1+10)=5),MagDom1+10,""),IF(AND(YEAR(MagDom1+17)=AnnoCalendario,MONTH(MagDom1+17)=5),MagDom1+17,""))</f>
        <v>45791</v>
      </c>
      <c r="E9" s="37">
        <f>IF(DAY(MagDom1)=1,IF(AND(YEAR(MagDom1+11)=AnnoCalendario,MONTH(MagDom1+11)=5),MagDom1+11,""),IF(AND(YEAR(MagDom1+18)=AnnoCalendario,MONTH(MagDom1+18)=5),MagDom1+18,""))</f>
        <v>45792</v>
      </c>
      <c r="F9" s="37">
        <f>IF(DAY(MagDom1)=1,IF(AND(YEAR(MagDom1+12)=AnnoCalendario,MONTH(MagDom1+12)=5),MagDom1+12,""),IF(AND(YEAR(MagDom1+19)=AnnoCalendario,MONTH(MagDom1+19)=5),MagDom1+19,""))</f>
        <v>45793</v>
      </c>
      <c r="G9" s="49">
        <f>IF(DAY(MagDom1)=1,IF(AND(YEAR(MagDom1+13)=AnnoCalendario,MONTH(MagDom1+13)=5),MagDom1+13,""),IF(AND(YEAR(MagDom1+20)=AnnoCalendario,MONTH(MagDom1+20)=5),MagDom1+20,""))</f>
        <v>45794</v>
      </c>
      <c r="H9" s="49">
        <f>IF(DAY(MagDom1)=1,IF(AND(YEAR(MagDom1+14)=AnnoCalendario,MONTH(MagDom1+14)=5),MagDom1+14,""),IF(AND(YEAR(MagDom1+21)=AnnoCalendario,MONTH(MagDom1+21)=5),MagDom1+21,""))</f>
        <v>45795</v>
      </c>
      <c r="I9" s="3"/>
    </row>
    <row r="10" spans="1:18" s="23" customFormat="1" ht="109.95" customHeight="1">
      <c r="A10" s="22"/>
      <c r="B10" s="55" t="s">
        <v>101</v>
      </c>
      <c r="C10" s="55" t="s">
        <v>102</v>
      </c>
      <c r="D10" s="55" t="s">
        <v>104</v>
      </c>
      <c r="E10" s="42" t="s">
        <v>105</v>
      </c>
      <c r="F10" s="55" t="s">
        <v>106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IF(DAY(MagDom1)=1,IF(AND(YEAR(MagDom1+15)=AnnoCalendario,MONTH(MagDom1+15)=5),MagDom1+15,""),IF(AND(YEAR(MagDom1+22)=AnnoCalendario,MONTH(MagDom1+22)=5),MagDom1+22,""))</f>
        <v>45796</v>
      </c>
      <c r="C11" s="37">
        <f>IF(DAY(MagDom1)=1,IF(AND(YEAR(MagDom1+16)=AnnoCalendario,MONTH(MagDom1+16)=5),MagDom1+16,""),IF(AND(YEAR(MagDom1+23)=AnnoCalendario,MONTH(MagDom1+23)=5),MagDom1+23,""))</f>
        <v>45797</v>
      </c>
      <c r="D11" s="37">
        <f>IF(DAY(MagDom1)=1,IF(AND(YEAR(MagDom1+17)=AnnoCalendario,MONTH(MagDom1+17)=5),MagDom1+17,""),IF(AND(YEAR(MagDom1+24)=AnnoCalendario,MONTH(MagDom1+24)=5),MagDom1+24,""))</f>
        <v>45798</v>
      </c>
      <c r="E11" s="37">
        <f>IF(DAY(MagDom1)=1,IF(AND(YEAR(MagDom1+18)=AnnoCalendario,MONTH(MagDom1+18)=5),MagDom1+18,""),IF(AND(YEAR(MagDom1+25)=AnnoCalendario,MONTH(MagDom1+25)=5),MagDom1+25,""))</f>
        <v>45799</v>
      </c>
      <c r="F11" s="37">
        <f>IF(DAY(MagDom1)=1,IF(AND(YEAR(MagDom1+19)=AnnoCalendario,MONTH(MagDom1+19)=5),MagDom1+19,""),IF(AND(YEAR(MagDom1+26)=AnnoCalendario,MONTH(MagDom1+26)=5),MagDom1+26,""))</f>
        <v>45800</v>
      </c>
      <c r="G11" s="49">
        <f>IF(DAY(MagDom1)=1,IF(AND(YEAR(MagDom1+20)=AnnoCalendario,MONTH(MagDom1+20)=5),MagDom1+20,""),IF(AND(YEAR(MagDom1+27)=AnnoCalendario,MONTH(MagDom1+27)=5),MagDom1+27,""))</f>
        <v>45801</v>
      </c>
      <c r="H11" s="49">
        <f>IF(DAY(MagDom1)=1,IF(AND(YEAR(MagDom1+21)=AnnoCalendario,MONTH(MagDom1+21)=5),MagDom1+21,""),IF(AND(YEAR(MagDom1+28)=AnnoCalendario,MONTH(MagDom1+28)=5),MagDom1+28,""))</f>
        <v>45802</v>
      </c>
      <c r="I11" s="3"/>
    </row>
    <row r="12" spans="1:18" s="23" customFormat="1" ht="109.95" customHeight="1">
      <c r="A12" s="22"/>
      <c r="B12" s="55" t="s">
        <v>107</v>
      </c>
      <c r="C12" s="55" t="s">
        <v>108</v>
      </c>
      <c r="D12" s="42" t="s">
        <v>271</v>
      </c>
      <c r="E12" s="55" t="s">
        <v>109</v>
      </c>
      <c r="F12" s="55" t="s">
        <v>110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IF(DAY(MagDom1)=1,IF(AND(YEAR(MagDom1+22)=AnnoCalendario,MONTH(MagDom1+22)=5),MagDom1+22,""),IF(AND(YEAR(MagDom1+29)=AnnoCalendario,MONTH(MagDom1+29)=5),MagDom1+29,""))</f>
        <v>45803</v>
      </c>
      <c r="C13" s="37">
        <f>IF(DAY(MagDom1)=1,IF(AND(YEAR(MagDom1+23)=AnnoCalendario,MONTH(MagDom1+23)=5),MagDom1+23,""),IF(AND(YEAR(MagDom1+30)=AnnoCalendario,MONTH(MagDom1+30)=5),MagDom1+30,""))</f>
        <v>45804</v>
      </c>
      <c r="D13" s="37">
        <f>IF(DAY(MagDom1)=1,IF(AND(YEAR(MagDom1+24)=AnnoCalendario,MONTH(MagDom1+24)=5),MagDom1+24,""),IF(AND(YEAR(MagDom1+31)=AnnoCalendario,MONTH(MagDom1+31)=5),MagDom1+31,""))</f>
        <v>45805</v>
      </c>
      <c r="E13" s="37">
        <f>IF(DAY(MagDom1)=1,IF(AND(YEAR(MagDom1+25)=AnnoCalendario,MONTH(MagDom1+25)=5),MagDom1+25,""),IF(AND(YEAR(MagDom1+32)=AnnoCalendario,MONTH(MagDom1+32)=5),MagDom1+32,""))</f>
        <v>45806</v>
      </c>
      <c r="F13" s="37">
        <f>IF(DAY(MagDom1)=1,IF(AND(YEAR(MagDom1+26)=AnnoCalendario,MONTH(MagDom1+26)=5),MagDom1+26,""),IF(AND(YEAR(MagDom1+33)=AnnoCalendario,MONTH(MagDom1+33)=5),MagDom1+33,""))</f>
        <v>45807</v>
      </c>
      <c r="G13" s="49">
        <f>IF(DAY(MagDom1)=1,IF(AND(YEAR(MagDom1+27)=AnnoCalendario,MONTH(MagDom1+27)=5),MagDom1+27,""),IF(AND(YEAR(MagDom1+34)=AnnoCalendario,MONTH(MagDom1+34)=5),MagDom1+34,""))</f>
        <v>45808</v>
      </c>
      <c r="H13" s="49" t="str">
        <f>IF(DAY(MagDom1)=1,IF(AND(YEAR(MagDom1+28)=AnnoCalendario,MONTH(MagDom1+28)=5),MagDom1+28,""),IF(AND(YEAR(MagDom1+35)=AnnoCalendario,MONTH(MagDom1+35)=5),MagDom1+35,""))</f>
        <v/>
      </c>
      <c r="I13" s="3"/>
    </row>
    <row r="14" spans="1:18" s="23" customFormat="1" ht="109.95" customHeight="1">
      <c r="A14" s="22"/>
      <c r="B14" s="42" t="s">
        <v>111</v>
      </c>
      <c r="C14" s="55" t="s">
        <v>112</v>
      </c>
      <c r="D14" s="55" t="s">
        <v>113</v>
      </c>
      <c r="E14" s="42" t="s">
        <v>114</v>
      </c>
      <c r="F14" s="55" t="s">
        <v>115</v>
      </c>
      <c r="G14" s="48" t="s">
        <v>37</v>
      </c>
      <c r="H14" s="48" t="s">
        <v>37</v>
      </c>
      <c r="I14" s="20"/>
    </row>
    <row r="15" spans="1:18" ht="15" customHeight="1">
      <c r="A15"/>
      <c r="B15" s="13" t="str">
        <f>IF(DAY(MagDom1)=1,IF(AND(YEAR(MagDom1+29)=AnnoCalendario,MONTH(MagDom1+29)=5),MagDom1+29,""),IF(AND(YEAR(MagDom1+36)=AnnoCalendario,MONTH(MagDom1+36)=5),MagDom1+36,""))</f>
        <v/>
      </c>
      <c r="C15" s="14" t="str">
        <f>IF(DAY(MagDom1)=1,IF(AND(YEAR(MagDom1+30)=AnnoCalendario,MONTH(MagDom1+30)=5),MagDom1+30,""),IF(AND(YEAR(MagDom1+37)=AnnoCalendario,MONTH(MagDom1+37)=5),MagDom1+37,""))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18"/>
      <c r="C16" s="18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A29C8601-D0AC-524D-9311-31E4B6505105}"/>
    <hyperlink ref="E14" r:id="rId2" xr:uid="{E6731B8C-9637-465C-ADF3-E38C886FB0A8}"/>
    <hyperlink ref="B14" r:id="rId3" xr:uid="{534DDF46-4E26-4532-BAE0-2FDD13D69883}"/>
    <hyperlink ref="D12" r:id="rId4" display="https://1drv.ms/b/s!AqJ5MhF8daU4hd0ccdqBHJNU79PW7g?e=9avaDF" xr:uid="{321C6F99-335A-4150-9253-2569B2337959}"/>
    <hyperlink ref="E10" r:id="rId5" xr:uid="{A6512E82-5291-41E7-B66A-04B505EFA760}"/>
    <hyperlink ref="F8" r:id="rId6" display="ESDRA E NEEMIA" xr:uid="{3874B459-E7D7-4DA5-8B63-DDE775FB43A2}"/>
    <hyperlink ref="E6" r:id="rId7" xr:uid="{A7A6E211-A58E-41D2-99A2-9241F61201CE}"/>
  </hyperlinks>
  <printOptions horizontalCentered="1" verticalCentered="1"/>
  <pageMargins left="0.2" right="0.2" top="0.25" bottom="0.25" header="0" footer="0"/>
  <pageSetup paperSize="9" scale="98" orientation="landscape" r:id="rId8"/>
  <headerFooter scaleWithDoc="0" alignWithMargins="0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R20"/>
  <sheetViews>
    <sheetView showGridLines="0" topLeftCell="A10" zoomScale="80" zoomScaleNormal="80" workbookViewId="0">
      <selection activeCell="B16" sqref="B16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9" width="13.7265625" style="1" customWidth="1"/>
    <col min="10" max="10" width="13.81640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UPPER(TEXT(DATE(AnnoCalendario,6,1),"mmmm aaaa"))</f>
        <v>GIUGNO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IF(DAY(GiuDom1)=1,"",IF(AND(YEAR(GiuDom1+1)=AnnoCalendario,MONTH(GiuDom1+1)=6),GiuDom1+1,""))</f>
        <v/>
      </c>
      <c r="C5" s="34" t="str">
        <f>IF(DAY(GiuDom1)=1,"",IF(AND(YEAR(GiuDom1+2)=AnnoCalendario,MONTH(GiuDom1+2)=6),GiuDom1+2,""))</f>
        <v/>
      </c>
      <c r="D5" s="34" t="str">
        <f>IF(DAY(GiuDom1)=1,"",IF(AND(YEAR(GiuDom1+3)=AnnoCalendario,MONTH(GiuDom1+3)=6),GiuDom1+3,""))</f>
        <v/>
      </c>
      <c r="E5" s="34" t="str">
        <f>IF(DAY(GiuDom1)=1,"",IF(AND(YEAR(GiuDom1+4)=AnnoCalendario,MONTH(GiuDom1+4)=6),GiuDom1+4,""))</f>
        <v/>
      </c>
      <c r="F5" s="34" t="str">
        <f>IF(DAY(GiuDom1)=1,"",IF(AND(YEAR(GiuDom1+5)=AnnoCalendario,MONTH(GiuDom1+5)=6),GiuDom1+5,""))</f>
        <v/>
      </c>
      <c r="G5" s="57" t="str">
        <f>IF(DAY(GiuDom1)=1,"",IF(AND(YEAR(GiuDom1+6)=AnnoCalendario,MONTH(GiuDom1+6)=6),GiuDom1+6,""))</f>
        <v/>
      </c>
      <c r="H5" s="47">
        <f>IF(DAY(GiuDom1)=1,IF(AND(YEAR(GiuDom1)=AnnoCalendario,MONTH(GiuDom1)=6),GiuDom1,""),IF(AND(YEAR(GiuDom1+7)=AnnoCalendario,MONTH(GiuDom1+7)=6),GiuDom1+7,""))</f>
        <v>45809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35"/>
      <c r="C6" s="35"/>
      <c r="D6" s="35"/>
      <c r="E6" s="35"/>
      <c r="F6" s="36"/>
      <c r="G6" s="58"/>
      <c r="H6" s="48" t="s">
        <v>37</v>
      </c>
      <c r="I6" s="20"/>
    </row>
    <row r="7" spans="1:18" ht="15" customHeight="1">
      <c r="A7"/>
      <c r="B7" s="34">
        <f>IF(DAY(GiuDom1)=1,IF(AND(YEAR(GiuDom1+1)=AnnoCalendario,MONTH(GiuDom1+1)=6),GiuDom1+1,""),IF(AND(YEAR(GiuDom1+8)=AnnoCalendario,MONTH(GiuDom1+8)=6),GiuDom1+8,""))</f>
        <v>45810</v>
      </c>
      <c r="C7" s="34">
        <f>IF(DAY(GiuDom1)=1,IF(AND(YEAR(GiuDom1+2)=AnnoCalendario,MONTH(GiuDom1+2)=6),GiuDom1+2,""),IF(AND(YEAR(GiuDom1+9)=AnnoCalendario,MONTH(GiuDom1+9)=6),GiuDom1+9,""))</f>
        <v>45811</v>
      </c>
      <c r="D7" s="34">
        <f>IF(DAY(GiuDom1)=1,IF(AND(YEAR(GiuDom1+3)=AnnoCalendario,MONTH(GiuDom1+3)=6),GiuDom1+3,""),IF(AND(YEAR(GiuDom1+10)=AnnoCalendario,MONTH(GiuDom1+10)=6),GiuDom1+10,""))</f>
        <v>45812</v>
      </c>
      <c r="E7" s="34">
        <f>IF(DAY(GiuDom1)=1,IF(AND(YEAR(GiuDom1+4)=AnnoCalendario,MONTH(GiuDom1+4)=6),GiuDom1+4,""),IF(AND(YEAR(GiuDom1+11)=AnnoCalendario,MONTH(GiuDom1+11)=6),GiuDom1+11,""))</f>
        <v>45813</v>
      </c>
      <c r="F7" s="34">
        <f>IF(DAY(GiuDom1)=1,IF(AND(YEAR(GiuDom1+5)=AnnoCalendario,MONTH(GiuDom1+5)=6),GiuDom1+5,""),IF(AND(YEAR(GiuDom1+12)=AnnoCalendario,MONTH(GiuDom1+12)=6),GiuDom1+12,""))</f>
        <v>45814</v>
      </c>
      <c r="G7" s="47">
        <f>IF(DAY(MagDom1)=1,IF(AND(YEAR(MagDom1+6)=AnnoCalendario,MONTH(MagDom1+6)=5),MagDom1+6,""),IF(AND(YEAR(MagDom1+13)=AnnoCalendario,MONTH(MagDom1+13)=5),MagDom1+13,""))</f>
        <v>45787</v>
      </c>
      <c r="H7" s="47">
        <f>IF(DAY(MagDom1)=1,IF(AND(YEAR(MagDom1+7)=AnnoCalendario,MONTH(MagDom1+7)=5),MagDom1+7,""),IF(AND(YEAR(MagDom1+14)=AnnoCalendario,MONTH(MagDom1+14)=5),MagDom1+14,""))</f>
        <v>45788</v>
      </c>
      <c r="I7" s="3"/>
    </row>
    <row r="8" spans="1:18" s="23" customFormat="1" ht="109.95" customHeight="1">
      <c r="A8" s="22"/>
      <c r="B8" s="42" t="s">
        <v>263</v>
      </c>
      <c r="C8" s="55" t="s">
        <v>264</v>
      </c>
      <c r="D8" s="42" t="s">
        <v>255</v>
      </c>
      <c r="E8" s="55" t="s">
        <v>256</v>
      </c>
      <c r="F8" s="55" t="s">
        <v>257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IF(DAY(GiuDom1)=1,IF(AND(YEAR(GiuDom1+8)=AnnoCalendario,MONTH(GiuDom1+8)=6),GiuDom1+8,""),IF(AND(YEAR(GiuDom1+15)=AnnoCalendario,MONTH(GiuDom1+15)=6),GiuDom1+15,""))</f>
        <v>45817</v>
      </c>
      <c r="C9" s="37">
        <f>IF(DAY(GiuDom1)=1,IF(AND(YEAR(GiuDom1+9)=AnnoCalendario,MONTH(GiuDom1+9)=6),GiuDom1+9,""),IF(AND(YEAR(GiuDom1+16)=AnnoCalendario,MONTH(GiuDom1+16)=6),GiuDom1+16,""))</f>
        <v>45818</v>
      </c>
      <c r="D9" s="37">
        <f>IF(DAY(GiuDom1)=1,IF(AND(YEAR(GiuDom1+10)=AnnoCalendario,MONTH(GiuDom1+10)=6),GiuDom1+10,""),IF(AND(YEAR(GiuDom1+17)=AnnoCalendario,MONTH(GiuDom1+17)=6),GiuDom1+17,""))</f>
        <v>45819</v>
      </c>
      <c r="E9" s="37">
        <f>IF(DAY(GiuDom1)=1,IF(AND(YEAR(GiuDom1+11)=AnnoCalendario,MONTH(GiuDom1+11)=6),GiuDom1+11,""),IF(AND(YEAR(GiuDom1+18)=AnnoCalendario,MONTH(GiuDom1+18)=6),GiuDom1+18,""))</f>
        <v>45820</v>
      </c>
      <c r="F9" s="37">
        <f>IF(DAY(GiuDom1)=1,IF(AND(YEAR(GiuDom1+12)=AnnoCalendario,MONTH(GiuDom1+12)=6),GiuDom1+12,""),IF(AND(YEAR(GiuDom1+19)=AnnoCalendario,MONTH(GiuDom1+19)=6),GiuDom1+19,""))</f>
        <v>45821</v>
      </c>
      <c r="G9" s="49">
        <f>IF(DAY(MagDom1)=1,IF(AND(YEAR(MagDom1+13)=AnnoCalendario,MONTH(MagDom1+13)=5),MagDom1+13,""),IF(AND(YEAR(MagDom1+20)=AnnoCalendario,MONTH(MagDom1+20)=5),MagDom1+20,""))</f>
        <v>45794</v>
      </c>
      <c r="H9" s="49">
        <f>IF(DAY(MagDom1)=1,IF(AND(YEAR(MagDom1+14)=AnnoCalendario,MONTH(MagDom1+14)=5),MagDom1+14,""),IF(AND(YEAR(MagDom1+21)=AnnoCalendario,MONTH(MagDom1+21)=5),MagDom1+21,""))</f>
        <v>45795</v>
      </c>
      <c r="I9" s="3"/>
    </row>
    <row r="10" spans="1:18" s="23" customFormat="1" ht="109.95" customHeight="1">
      <c r="A10" s="22"/>
      <c r="B10" s="55" t="s">
        <v>261</v>
      </c>
      <c r="C10" s="42" t="s">
        <v>260</v>
      </c>
      <c r="D10" s="55" t="s">
        <v>251</v>
      </c>
      <c r="E10" s="55" t="s">
        <v>249</v>
      </c>
      <c r="F10" s="55" t="s">
        <v>250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IF(DAY(GiuDom1)=1,IF(AND(YEAR(GiuDom1+15)=AnnoCalendario,MONTH(GiuDom1+15)=6),GiuDom1+15,""),IF(AND(YEAR(GiuDom1+22)=AnnoCalendario,MONTH(GiuDom1+22)=6),GiuDom1+22,""))</f>
        <v>45824</v>
      </c>
      <c r="C11" s="37">
        <f>IF(DAY(GiuDom1)=1,IF(AND(YEAR(GiuDom1+16)=AnnoCalendario,MONTH(GiuDom1+16)=6),GiuDom1+16,""),IF(AND(YEAR(GiuDom1+23)=AnnoCalendario,MONTH(GiuDom1+23)=6),GiuDom1+23,""))</f>
        <v>45825</v>
      </c>
      <c r="D11" s="37">
        <f>IF(DAY(GiuDom1)=1,IF(AND(YEAR(GiuDom1+17)=AnnoCalendario,MONTH(GiuDom1+17)=6),GiuDom1+17,""),IF(AND(YEAR(GiuDom1+24)=AnnoCalendario,MONTH(GiuDom1+24)=6),GiuDom1+24,""))</f>
        <v>45826</v>
      </c>
      <c r="E11" s="37">
        <f>IF(DAY(GiuDom1)=1,IF(AND(YEAR(GiuDom1+18)=AnnoCalendario,MONTH(GiuDom1+18)=6),GiuDom1+18,""),IF(AND(YEAR(GiuDom1+25)=AnnoCalendario,MONTH(GiuDom1+25)=6),GiuDom1+25,""))</f>
        <v>45827</v>
      </c>
      <c r="F11" s="37">
        <f>IF(DAY(GiuDom1)=1,IF(AND(YEAR(GiuDom1+19)=AnnoCalendario,MONTH(GiuDom1+19)=6),GiuDom1+19,""),IF(AND(YEAR(GiuDom1+26)=AnnoCalendario,MONTH(GiuDom1+26)=6),GiuDom1+26,""))</f>
        <v>45828</v>
      </c>
      <c r="G11" s="49">
        <f>IF(DAY(MagDom1)=1,IF(AND(YEAR(MagDom1+20)=AnnoCalendario,MONTH(MagDom1+20)=5),MagDom1+20,""),IF(AND(YEAR(MagDom1+27)=AnnoCalendario,MONTH(MagDom1+27)=5),MagDom1+27,""))</f>
        <v>45801</v>
      </c>
      <c r="H11" s="49">
        <f>IF(DAY(MagDom1)=1,IF(AND(YEAR(MagDom1+21)=AnnoCalendario,MONTH(MagDom1+21)=5),MagDom1+21,""),IF(AND(YEAR(MagDom1+28)=AnnoCalendario,MONTH(MagDom1+28)=5),MagDom1+28,""))</f>
        <v>45802</v>
      </c>
      <c r="I11" s="3"/>
    </row>
    <row r="12" spans="1:18" s="23" customFormat="1" ht="109.95" customHeight="1">
      <c r="A12" s="22"/>
      <c r="B12" s="55" t="s">
        <v>248</v>
      </c>
      <c r="C12" s="55" t="s">
        <v>247</v>
      </c>
      <c r="D12" s="55" t="s">
        <v>246</v>
      </c>
      <c r="E12" s="55" t="s">
        <v>245</v>
      </c>
      <c r="F12" s="55" t="s">
        <v>244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IF(DAY(GiuDom1)=1,IF(AND(YEAR(GiuDom1+22)=AnnoCalendario,MONTH(GiuDom1+22)=6),GiuDom1+22,""),IF(AND(YEAR(GiuDom1+29)=AnnoCalendario,MONTH(GiuDom1+29)=6),GiuDom1+29,""))</f>
        <v>45831</v>
      </c>
      <c r="C13" s="37">
        <f>IF(DAY(GiuDom1)=1,IF(AND(YEAR(GiuDom1+23)=AnnoCalendario,MONTH(GiuDom1+23)=6),GiuDom1+23,""),IF(AND(YEAR(GiuDom1+30)=AnnoCalendario,MONTH(GiuDom1+30)=6),GiuDom1+30,""))</f>
        <v>45832</v>
      </c>
      <c r="D13" s="37">
        <f>IF(DAY(GiuDom1)=1,IF(AND(YEAR(GiuDom1+24)=AnnoCalendario,MONTH(GiuDom1+24)=6),GiuDom1+24,""),IF(AND(YEAR(GiuDom1+31)=AnnoCalendario,MONTH(GiuDom1+31)=6),GiuDom1+31,""))</f>
        <v>45833</v>
      </c>
      <c r="E13" s="37">
        <f>IF(DAY(GiuDom1)=1,IF(AND(YEAR(GiuDom1+25)=AnnoCalendario,MONTH(GiuDom1+25)=6),GiuDom1+25,""),IF(AND(YEAR(GiuDom1+32)=AnnoCalendario,MONTH(GiuDom1+32)=6),GiuDom1+32,""))</f>
        <v>45834</v>
      </c>
      <c r="F13" s="37">
        <f>IF(DAY(GiuDom1)=1,IF(AND(YEAR(GiuDom1+26)=AnnoCalendario,MONTH(GiuDom1+26)=6),GiuDom1+26,""),IF(AND(YEAR(GiuDom1+33)=AnnoCalendario,MONTH(GiuDom1+33)=6),GiuDom1+33,""))</f>
        <v>45835</v>
      </c>
      <c r="G13" s="49">
        <f>IF(DAY(GiuDom1)=1,IF(AND(YEAR(GiuDom1+27)=AnnoCalendario,MONTH(GiuDom1+27)=6),GiuDom1+27,""),IF(AND(YEAR(GiuDom1+34)=AnnoCalendario,MONTH(GiuDom1+34)=6),GiuDom1+34,""))</f>
        <v>45836</v>
      </c>
      <c r="H13" s="49">
        <f>IF(DAY(GiuDom1)=1,IF(AND(YEAR(GiuDom1+28)=AnnoCalendario,MONTH(GiuDom1+28)=6),GiuDom1+28,""),IF(AND(YEAR(GiuDom1+35)=AnnoCalendario,MONTH(GiuDom1+35)=6),GiuDom1+35,""))</f>
        <v>45837</v>
      </c>
      <c r="I13" s="3"/>
    </row>
    <row r="14" spans="1:18" s="23" customFormat="1" ht="109.95" customHeight="1">
      <c r="A14" s="22"/>
      <c r="B14" s="55" t="s">
        <v>243</v>
      </c>
      <c r="C14" s="55" t="s">
        <v>242</v>
      </c>
      <c r="D14" s="55" t="s">
        <v>241</v>
      </c>
      <c r="E14" s="55" t="s">
        <v>240</v>
      </c>
      <c r="F14" s="55" t="s">
        <v>239</v>
      </c>
      <c r="G14" s="48" t="s">
        <v>37</v>
      </c>
      <c r="H14" s="48" t="s">
        <v>37</v>
      </c>
      <c r="I14" s="20"/>
    </row>
    <row r="15" spans="1:18" ht="15" customHeight="1">
      <c r="A15"/>
      <c r="B15" s="13">
        <f>IF(DAY(GiuDom1)=1,IF(AND(YEAR(GiuDom1+29)=AnnoCalendario,MONTH(GiuDom1+29)=6),GiuDom1+29,""),IF(AND(YEAR(GiuDom1+36)=AnnoCalendario,MONTH(GiuDom1+36)=6),GiuDom1+36,""))</f>
        <v>45838</v>
      </c>
      <c r="C15" s="14" t="str">
        <f>IF(DAY(GiuDom1)=1,IF(AND(YEAR(GiuDom1+30)=AnnoCalendario,MONTH(GiuDom1+30)=6),GiuDom1+30,""),IF(AND(YEAR(GiuDom1+37)=AnnoCalendario,MONTH(GiuDom1+37)=6),GiuDom1+37,""))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55" t="s">
        <v>238</v>
      </c>
      <c r="C16" s="18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97770584-D4DF-8346-839B-271CFDE46502}"/>
  </hyperlinks>
  <printOptions horizontalCentered="1" verticalCentered="1"/>
  <pageMargins left="0.2" right="0.2" top="0.25" bottom="0.25" header="0" footer="0"/>
  <pageSetup paperSize="9" scale="98" orientation="landscape" r:id="rId2"/>
  <headerFooter scaleWithDoc="0"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  <pageSetUpPr fitToPage="1"/>
  </sheetPr>
  <dimension ref="A1:R20"/>
  <sheetViews>
    <sheetView showGridLines="0" topLeftCell="A8" zoomScale="65" zoomScaleNormal="65" workbookViewId="0">
      <selection activeCell="D14" sqref="D14:E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UPPER(TEXT(DATE(AnnoCalendario,7,1),"mmmm aaaa"))</f>
        <v>LUGLIO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IF(DAY(LugDom1)=1,"",IF(AND(YEAR(LugDom1+1)=AnnoCalendario,MONTH(LugDom1+1)=7),LugDom1+1,""))</f>
        <v/>
      </c>
      <c r="C5" s="34">
        <f>IF(DAY(LugDom1)=1,"",IF(AND(YEAR(LugDom1+2)=AnnoCalendario,MONTH(LugDom1+2)=7),LugDom1+2,""))</f>
        <v>45839</v>
      </c>
      <c r="D5" s="34">
        <f>IF(DAY(LugDom1)=1,"",IF(AND(YEAR(LugDom1+3)=AnnoCalendario,MONTH(LugDom1+3)=7),LugDom1+3,""))</f>
        <v>45840</v>
      </c>
      <c r="E5" s="34">
        <f>IF(DAY(LugDom1)=1,"",IF(AND(YEAR(LugDom1+4)=AnnoCalendario,MONTH(LugDom1+4)=7),LugDom1+4,""))</f>
        <v>45841</v>
      </c>
      <c r="F5" s="34">
        <f>IF(DAY(LugDom1)=1,"",IF(AND(YEAR(LugDom1+5)=AnnoCalendario,MONTH(LugDom1+5)=7),LugDom1+5,""))</f>
        <v>45842</v>
      </c>
      <c r="G5" s="47">
        <f>IF(DAY(LugDom1)=1,"",IF(AND(YEAR(LugDom1+6)=AnnoCalendario,MONTH(LugDom1+6)=7),LugDom1+6,""))</f>
        <v>45843</v>
      </c>
      <c r="H5" s="47">
        <f>IF(DAY(LugDom1)=1,IF(AND(YEAR(LugDom1)=AnnoCalendario,MONTH(LugDom1)=7),LugDom1,""),IF(AND(YEAR(LugDom1+7)=AnnoCalendario,MONTH(LugDom1+7)=7),LugDom1+7,""))</f>
        <v>45844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35"/>
      <c r="C6" s="55" t="s">
        <v>237</v>
      </c>
      <c r="D6" s="55" t="s">
        <v>252</v>
      </c>
      <c r="E6" s="55" t="s">
        <v>253</v>
      </c>
      <c r="F6" s="55" t="s">
        <v>254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IF(DAY(LugDom1)=1,IF(AND(YEAR(LugDom1+1)=AnnoCalendario,MONTH(LugDom1+1)=7),LugDom1+1,""),IF(AND(YEAR(LugDom1+8)=AnnoCalendario,MONTH(LugDom1+8)=7),LugDom1+8,""))</f>
        <v>45845</v>
      </c>
      <c r="C7" s="34">
        <f>IF(DAY(LugDom1)=1,IF(AND(YEAR(LugDom1+2)=AnnoCalendario,MONTH(LugDom1+2)=7),LugDom1+2,""),IF(AND(YEAR(LugDom1+9)=AnnoCalendario,MONTH(LugDom1+9)=7),LugDom1+9,""))</f>
        <v>45846</v>
      </c>
      <c r="D7" s="34">
        <f>IF(DAY(LugDom1)=1,IF(AND(YEAR(LugDom1+3)=AnnoCalendario,MONTH(LugDom1+3)=7),LugDom1+3,""),IF(AND(YEAR(LugDom1+10)=AnnoCalendario,MONTH(LugDom1+10)=7),LugDom1+10,""))</f>
        <v>45847</v>
      </c>
      <c r="E7" s="34">
        <f>IF(DAY(LugDom1)=1,IF(AND(YEAR(LugDom1+4)=AnnoCalendario,MONTH(LugDom1+4)=7),LugDom1+4,""),IF(AND(YEAR(LugDom1+11)=AnnoCalendario,MONTH(LugDom1+11)=7),LugDom1+11,""))</f>
        <v>45848</v>
      </c>
      <c r="F7" s="34">
        <f>IF(DAY(LugDom1)=1,IF(AND(YEAR(LugDom1+5)=AnnoCalendario,MONTH(LugDom1+5)=7),LugDom1+5,""),IF(AND(YEAR(LugDom1+12)=AnnoCalendario,MONTH(LugDom1+12)=7),LugDom1+12,""))</f>
        <v>45849</v>
      </c>
      <c r="G7" s="47">
        <f>IF(DAY(LugDom1)=1,IF(AND(YEAR(LugDom1+6)=AnnoCalendario,MONTH(LugDom1+6)=7),LugDom1+6,""),IF(AND(YEAR(LugDom1+13)=AnnoCalendario,MONTH(LugDom1+13)=7),LugDom1+13,""))</f>
        <v>45850</v>
      </c>
      <c r="H7" s="47">
        <f>IF(DAY(LugDom1)=1,IF(AND(YEAR(LugDom1+7)=AnnoCalendario,MONTH(LugDom1+7)=7),LugDom1+7,""),IF(AND(YEAR(LugDom1+14)=AnnoCalendario,MONTH(LugDom1+14)=7),LugDom1+14,""))</f>
        <v>45851</v>
      </c>
      <c r="I7" s="3"/>
    </row>
    <row r="8" spans="1:18" s="23" customFormat="1" ht="109.95" customHeight="1">
      <c r="A8" s="22"/>
      <c r="B8" s="55" t="s">
        <v>258</v>
      </c>
      <c r="C8" s="55" t="s">
        <v>236</v>
      </c>
      <c r="D8" s="42" t="s">
        <v>259</v>
      </c>
      <c r="E8" s="55" t="s">
        <v>235</v>
      </c>
      <c r="F8" s="55" t="s">
        <v>234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IF(DAY(LugDom1)=1,IF(AND(YEAR(LugDom1+8)=AnnoCalendario,MONTH(LugDom1+8)=7),LugDom1+8,""),IF(AND(YEAR(LugDom1+15)=AnnoCalendario,MONTH(LugDom1+15)=7),LugDom1+15,""))</f>
        <v>45852</v>
      </c>
      <c r="C9" s="37">
        <f>IF(DAY(LugDom1)=1,IF(AND(YEAR(LugDom1+9)=AnnoCalendario,MONTH(LugDom1+9)=7),LugDom1+9,""),IF(AND(YEAR(LugDom1+16)=AnnoCalendario,MONTH(LugDom1+16)=7),LugDom1+16,""))</f>
        <v>45853</v>
      </c>
      <c r="D9" s="37">
        <f>IF(DAY(LugDom1)=1,IF(AND(YEAR(LugDom1+10)=AnnoCalendario,MONTH(LugDom1+10)=7),LugDom1+10,""),IF(AND(YEAR(LugDom1+17)=AnnoCalendario,MONTH(LugDom1+17)=7),LugDom1+17,""))</f>
        <v>45854</v>
      </c>
      <c r="E9" s="37">
        <f>IF(DAY(LugDom1)=1,IF(AND(YEAR(LugDom1+11)=AnnoCalendario,MONTH(LugDom1+11)=7),LugDom1+11,""),IF(AND(YEAR(LugDom1+18)=AnnoCalendario,MONTH(LugDom1+18)=7),LugDom1+18,""))</f>
        <v>45855</v>
      </c>
      <c r="F9" s="37">
        <f>IF(DAY(LugDom1)=1,IF(AND(YEAR(LugDom1+12)=AnnoCalendario,MONTH(LugDom1+12)=7),LugDom1+12,""),IF(AND(YEAR(LugDom1+19)=AnnoCalendario,MONTH(LugDom1+19)=7),LugDom1+19,""))</f>
        <v>45856</v>
      </c>
      <c r="G9" s="49">
        <f>IF(DAY(LugDom1)=1,IF(AND(YEAR(LugDom1+13)=AnnoCalendario,MONTH(LugDom1+13)=7),LugDom1+13,""),IF(AND(YEAR(LugDom1+20)=AnnoCalendario,MONTH(LugDom1+20)=7),LugDom1+20,""))</f>
        <v>45857</v>
      </c>
      <c r="H9" s="49">
        <f>IF(DAY(LugDom1)=1,IF(AND(YEAR(LugDom1+14)=AnnoCalendario,MONTH(LugDom1+14)=7),LugDom1+14,""),IF(AND(YEAR(LugDom1+21)=AnnoCalendario,MONTH(LugDom1+21)=7),LugDom1+21,""))</f>
        <v>45858</v>
      </c>
      <c r="I9" s="3"/>
    </row>
    <row r="10" spans="1:18" s="23" customFormat="1" ht="109.95" customHeight="1">
      <c r="A10" s="22"/>
      <c r="B10" s="55" t="s">
        <v>233</v>
      </c>
      <c r="C10" s="55" t="s">
        <v>230</v>
      </c>
      <c r="D10" s="55" t="s">
        <v>231</v>
      </c>
      <c r="E10" s="55" t="s">
        <v>232</v>
      </c>
      <c r="F10" s="55" t="s">
        <v>226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IF(DAY(LugDom1)=1,IF(AND(YEAR(LugDom1+15)=AnnoCalendario,MONTH(LugDom1+15)=7),LugDom1+15,""),IF(AND(YEAR(LugDom1+22)=AnnoCalendario,MONTH(LugDom1+22)=7),LugDom1+22,""))</f>
        <v>45859</v>
      </c>
      <c r="C11" s="37">
        <f>IF(DAY(LugDom1)=1,IF(AND(YEAR(LugDom1+16)=AnnoCalendario,MONTH(LugDom1+16)=7),LugDom1+16,""),IF(AND(YEAR(LugDom1+23)=AnnoCalendario,MONTH(LugDom1+23)=7),LugDom1+23,""))</f>
        <v>45860</v>
      </c>
      <c r="D11" s="37">
        <f>IF(DAY(LugDom1)=1,IF(AND(YEAR(LugDom1+17)=AnnoCalendario,MONTH(LugDom1+17)=7),LugDom1+17,""),IF(AND(YEAR(LugDom1+24)=AnnoCalendario,MONTH(LugDom1+24)=7),LugDom1+24,""))</f>
        <v>45861</v>
      </c>
      <c r="E11" s="37">
        <f>IF(DAY(LugDom1)=1,IF(AND(YEAR(LugDom1+18)=AnnoCalendario,MONTH(LugDom1+18)=7),LugDom1+18,""),IF(AND(YEAR(LugDom1+25)=AnnoCalendario,MONTH(LugDom1+25)=7),LugDom1+25,""))</f>
        <v>45862</v>
      </c>
      <c r="F11" s="37">
        <f>IF(DAY(LugDom1)=1,IF(AND(YEAR(LugDom1+19)=AnnoCalendario,MONTH(LugDom1+19)=7),LugDom1+19,""),IF(AND(YEAR(LugDom1+26)=AnnoCalendario,MONTH(LugDom1+26)=7),LugDom1+26,""))</f>
        <v>45863</v>
      </c>
      <c r="G11" s="49">
        <f>IF(DAY(LugDom1)=1,IF(AND(YEAR(LugDom1+20)=AnnoCalendario,MONTH(LugDom1+20)=7),LugDom1+20,""),IF(AND(YEAR(LugDom1+27)=AnnoCalendario,MONTH(LugDom1+27)=7),LugDom1+27,""))</f>
        <v>45864</v>
      </c>
      <c r="H11" s="49">
        <f>IF(DAY(LugDom1)=1,IF(AND(YEAR(LugDom1+21)=AnnoCalendario,MONTH(LugDom1+21)=7),LugDom1+21,""),IF(AND(YEAR(LugDom1+28)=AnnoCalendario,MONTH(LugDom1+28)=7),LugDom1+28,""))</f>
        <v>45865</v>
      </c>
      <c r="I11" s="3"/>
    </row>
    <row r="12" spans="1:18" s="23" customFormat="1" ht="109.95" customHeight="1">
      <c r="A12" s="22"/>
      <c r="B12" s="55" t="s">
        <v>227</v>
      </c>
      <c r="C12" s="55" t="s">
        <v>228</v>
      </c>
      <c r="D12" s="55" t="s">
        <v>229</v>
      </c>
      <c r="E12" s="42" t="s">
        <v>265</v>
      </c>
      <c r="F12" s="55" t="s">
        <v>137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IF(DAY(LugDom1)=1,IF(AND(YEAR(LugDom1+22)=AnnoCalendario,MONTH(LugDom1+22)=7),LugDom1+22,""),IF(AND(YEAR(LugDom1+29)=AnnoCalendario,MONTH(LugDom1+29)=7),LugDom1+29,""))</f>
        <v>45866</v>
      </c>
      <c r="C13" s="37">
        <f>IF(DAY(LugDom1)=1,IF(AND(YEAR(LugDom1+23)=AnnoCalendario,MONTH(LugDom1+23)=7),LugDom1+23,""),IF(AND(YEAR(LugDom1+30)=AnnoCalendario,MONTH(LugDom1+30)=7),LugDom1+30,""))</f>
        <v>45867</v>
      </c>
      <c r="D13" s="37">
        <f>IF(DAY(LugDom1)=1,IF(AND(YEAR(LugDom1+24)=AnnoCalendario,MONTH(LugDom1+24)=7),LugDom1+24,""),IF(AND(YEAR(LugDom1+31)=AnnoCalendario,MONTH(LugDom1+31)=7),LugDom1+31,""))</f>
        <v>45868</v>
      </c>
      <c r="E13" s="37">
        <f>IF(DAY(LugDom1)=1,IF(AND(YEAR(LugDom1+25)=AnnoCalendario,MONTH(LugDom1+25)=7),LugDom1+25,""),IF(AND(YEAR(LugDom1+32)=AnnoCalendario,MONTH(LugDom1+32)=7),LugDom1+32,""))</f>
        <v>45869</v>
      </c>
      <c r="F13" s="37" t="str">
        <f>IF(DAY(LugDom1)=1,IF(AND(YEAR(LugDom1+26)=AnnoCalendario,MONTH(LugDom1+26)=7),LugDom1+26,""),IF(AND(YEAR(LugDom1+33)=AnnoCalendario,MONTH(LugDom1+33)=7),LugDom1+33,""))</f>
        <v/>
      </c>
      <c r="G13" s="37" t="str">
        <f>IF(DAY(LugDom1)=1,IF(AND(YEAR(LugDom1+27)=AnnoCalendario,MONTH(LugDom1+27)=7),LugDom1+27,""),IF(AND(YEAR(LugDom1+34)=AnnoCalendario,MONTH(LugDom1+34)=7),LugDom1+34,""))</f>
        <v/>
      </c>
      <c r="H13" s="37" t="str">
        <f>IF(DAY(LugDom1)=1,IF(AND(YEAR(LugDom1+28)=AnnoCalendario,MONTH(LugDom1+28)=7),LugDom1+28,""),IF(AND(YEAR(LugDom1+35)=AnnoCalendario,MONTH(LugDom1+35)=7),LugDom1+35,""))</f>
        <v/>
      </c>
      <c r="I13" s="3"/>
    </row>
    <row r="14" spans="1:18" s="23" customFormat="1" ht="109.95" customHeight="1">
      <c r="A14" s="22"/>
      <c r="B14" s="55" t="s">
        <v>138</v>
      </c>
      <c r="C14" s="56" t="s">
        <v>139</v>
      </c>
      <c r="D14" s="55" t="s">
        <v>140</v>
      </c>
      <c r="E14" s="55" t="s">
        <v>141</v>
      </c>
      <c r="F14" s="35"/>
      <c r="G14" s="43"/>
      <c r="H14" s="43"/>
      <c r="I14" s="20"/>
    </row>
    <row r="15" spans="1:18" ht="15" customHeight="1">
      <c r="A15"/>
      <c r="B15" s="13" t="str">
        <f>IF(DAY(LugDom1)=1,IF(AND(YEAR(LugDom1+29)=AnnoCalendario,MONTH(LugDom1+29)=7),LugDom1+29,""),IF(AND(YEAR(LugDom1+36)=AnnoCalendario,MONTH(LugDom1+36)=7),LugDom1+36,""))</f>
        <v/>
      </c>
      <c r="C15" s="14" t="str">
        <f>IF(DAY(LugDom1)=1,IF(AND(YEAR(LugDom1+30)=AnnoCalendario,MONTH(LugDom1+30)=7),LugDom1+30,""),IF(AND(YEAR(LugDom1+37)=AnnoCalendario,MONTH(LugDom1+37)=7),LugDom1+37,""))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18"/>
      <c r="C16" s="18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3349AA3C-7167-0542-935E-9D3355D88B16}"/>
    <hyperlink ref="D8" r:id="rId2" xr:uid="{C2C49A97-F5EF-4104-815B-15E7B88A0324}"/>
    <hyperlink ref="E12" r:id="rId3" xr:uid="{57F219C7-323A-466E-A336-FA32946E9217}"/>
  </hyperlinks>
  <printOptions horizontalCentered="1" verticalCentered="1"/>
  <pageMargins left="0.2" right="0.2" top="0.25" bottom="0.25" header="0" footer="0"/>
  <pageSetup paperSize="9" scale="98" orientation="landscape" r:id="rId4"/>
  <headerFooter scaleWithDoc="0"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249977111117893"/>
    <pageSetUpPr fitToPage="1"/>
  </sheetPr>
  <dimension ref="A1:R20"/>
  <sheetViews>
    <sheetView showGridLines="0" topLeftCell="A6" zoomScale="62" zoomScaleNormal="100" workbookViewId="0">
      <selection activeCell="B14" sqref="B14:F14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45" t="str">
        <f>UPPER(TEXT(DATE(AnnoCalendario,8,1),"mmmm aaaa"))</f>
        <v>AGOSTO 2025</v>
      </c>
      <c r="C3" s="45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 t="str">
        <f>IF(DAY(AgoDom1)=1,"",IF(AND(YEAR(AgoDom1+1)=AnnoCalendario,MONTH(AgoDom1+1)=8),AgoDom1+1,""))</f>
        <v/>
      </c>
      <c r="C5" s="34" t="str">
        <f>IF(DAY(AgoDom1)=1,"",IF(AND(YEAR(AgoDom1+2)=AnnoCalendario,MONTH(AgoDom1+2)=8),AgoDom1+2,""))</f>
        <v/>
      </c>
      <c r="D5" s="34" t="str">
        <f>IF(DAY(AgoDom1)=1,"",IF(AND(YEAR(AgoDom1+3)=AnnoCalendario,MONTH(AgoDom1+3)=8),AgoDom1+3,""))</f>
        <v/>
      </c>
      <c r="E5" s="34" t="str">
        <f>IF(DAY(AgoDom1)=1,"",IF(AND(YEAR(AgoDom1+4)=AnnoCalendario,MONTH(AgoDom1+4)=8),AgoDom1+4,""))</f>
        <v/>
      </c>
      <c r="F5" s="34">
        <f>IF(DAY(AgoDom1)=1,"",IF(AND(YEAR(AgoDom1+5)=AnnoCalendario,MONTH(AgoDom1+5)=8),AgoDom1+5,""))</f>
        <v>45870</v>
      </c>
      <c r="G5" s="47">
        <f>IF(DAY(AgoDom1)=1,"",IF(AND(YEAR(AgoDom1+6)=AnnoCalendario,MONTH(AgoDom1+6)=8),AgoDom1+6,""))</f>
        <v>45871</v>
      </c>
      <c r="H5" s="47">
        <f>IF(DAY(AgoDom1)=1,IF(AND(YEAR(AgoDom1)=AnnoCalendario,MONTH(AgoDom1)=8),AgoDom1,""),IF(AND(YEAR(AgoDom1+7)=AnnoCalendario,MONTH(AgoDom1+7)=8),AgoDom1+7,""))</f>
        <v>45872</v>
      </c>
      <c r="I5" s="3"/>
      <c r="K5" s="1"/>
      <c r="L5" s="1"/>
      <c r="M5" s="1"/>
      <c r="Q5" s="2"/>
      <c r="R5" s="1"/>
    </row>
    <row r="6" spans="1:18" s="21" customFormat="1" ht="109.95" customHeight="1">
      <c r="A6" s="19"/>
      <c r="B6" s="54"/>
      <c r="C6" s="54"/>
      <c r="D6" s="54"/>
      <c r="E6" s="54"/>
      <c r="F6" s="55" t="s">
        <v>142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IF(DAY(AgoDom1)=1,IF(AND(YEAR(AgoDom1+1)=AnnoCalendario,MONTH(AgoDom1+1)=8),AgoDom1+1,""),IF(AND(YEAR(AgoDom1+8)=AnnoCalendario,MONTH(AgoDom1+8)=8),AgoDom1+8,""))</f>
        <v>45873</v>
      </c>
      <c r="C7" s="34">
        <f>IF(DAY(AgoDom1)=1,IF(AND(YEAR(AgoDom1+2)=AnnoCalendario,MONTH(AgoDom1+2)=8),AgoDom1+2,""),IF(AND(YEAR(AgoDom1+9)=AnnoCalendario,MONTH(AgoDom1+9)=8),AgoDom1+9,""))</f>
        <v>45874</v>
      </c>
      <c r="D7" s="34">
        <f>IF(DAY(AgoDom1)=1,IF(AND(YEAR(AgoDom1+3)=AnnoCalendario,MONTH(AgoDom1+3)=8),AgoDom1+3,""),IF(AND(YEAR(AgoDom1+10)=AnnoCalendario,MONTH(AgoDom1+10)=8),AgoDom1+10,""))</f>
        <v>45875</v>
      </c>
      <c r="E7" s="34">
        <f>IF(DAY(AgoDom1)=1,IF(AND(YEAR(AgoDom1+4)=AnnoCalendario,MONTH(AgoDom1+4)=8),AgoDom1+4,""),IF(AND(YEAR(AgoDom1+11)=AnnoCalendario,MONTH(AgoDom1+11)=8),AgoDom1+11,""))</f>
        <v>45876</v>
      </c>
      <c r="F7" s="34">
        <f>IF(DAY(AgoDom1)=1,IF(AND(YEAR(AgoDom1+5)=AnnoCalendario,MONTH(AgoDom1+5)=8),AgoDom1+5,""),IF(AND(YEAR(AgoDom1+12)=AnnoCalendario,MONTH(AgoDom1+12)=8),AgoDom1+12,""))</f>
        <v>45877</v>
      </c>
      <c r="G7" s="47">
        <f>IF(DAY(AgoDom1)=1,IF(AND(YEAR(AgoDom1+6)=AnnoCalendario,MONTH(AgoDom1+6)=8),AgoDom1+6,""),IF(AND(YEAR(AgoDom1+13)=AnnoCalendario,MONTH(AgoDom1+13)=8),AgoDom1+13,""))</f>
        <v>45878</v>
      </c>
      <c r="H7" s="47">
        <f>IF(DAY(AgoDom1)=1,IF(AND(YEAR(AgoDom1+7)=AnnoCalendario,MONTH(AgoDom1+7)=8),AgoDom1+7,""),IF(AND(YEAR(AgoDom1+14)=AnnoCalendario,MONTH(AgoDom1+14)=8),AgoDom1+14,""))</f>
        <v>45879</v>
      </c>
      <c r="I7" s="3"/>
    </row>
    <row r="8" spans="1:18" s="21" customFormat="1" ht="109.95" customHeight="1">
      <c r="A8" s="19"/>
      <c r="B8" s="55" t="s">
        <v>143</v>
      </c>
      <c r="C8" s="55" t="s">
        <v>144</v>
      </c>
      <c r="D8" s="55" t="s">
        <v>145</v>
      </c>
      <c r="E8" s="55" t="s">
        <v>147</v>
      </c>
      <c r="F8" s="55" t="s">
        <v>148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IF(DAY(AgoDom1)=1,IF(AND(YEAR(AgoDom1+8)=AnnoCalendario,MONTH(AgoDom1+8)=8),AgoDom1+8,""),IF(AND(YEAR(AgoDom1+15)=AnnoCalendario,MONTH(AgoDom1+15)=8),AgoDom1+15,""))</f>
        <v>45880</v>
      </c>
      <c r="C9" s="37">
        <f>IF(DAY(AgoDom1)=1,IF(AND(YEAR(AgoDom1+9)=AnnoCalendario,MONTH(AgoDom1+9)=8),AgoDom1+9,""),IF(AND(YEAR(AgoDom1+16)=AnnoCalendario,MONTH(AgoDom1+16)=8),AgoDom1+16,""))</f>
        <v>45881</v>
      </c>
      <c r="D9" s="37">
        <f>IF(DAY(AgoDom1)=1,IF(AND(YEAR(AgoDom1+10)=AnnoCalendario,MONTH(AgoDom1+10)=8),AgoDom1+10,""),IF(AND(YEAR(AgoDom1+17)=AnnoCalendario,MONTH(AgoDom1+17)=8),AgoDom1+17,""))</f>
        <v>45882</v>
      </c>
      <c r="E9" s="37">
        <f>IF(DAY(AgoDom1)=1,IF(AND(YEAR(AgoDom1+11)=AnnoCalendario,MONTH(AgoDom1+11)=8),AgoDom1+11,""),IF(AND(YEAR(AgoDom1+18)=AnnoCalendario,MONTH(AgoDom1+18)=8),AgoDom1+18,""))</f>
        <v>45883</v>
      </c>
      <c r="F9" s="37">
        <f>IF(DAY(AgoDom1)=1,IF(AND(YEAR(AgoDom1+12)=AnnoCalendario,MONTH(AgoDom1+12)=8),AgoDom1+12,""),IF(AND(YEAR(AgoDom1+19)=AnnoCalendario,MONTH(AgoDom1+19)=8),AgoDom1+19,""))</f>
        <v>45884</v>
      </c>
      <c r="G9" s="49">
        <f>IF(DAY(AgoDom1)=1,IF(AND(YEAR(AgoDom1+13)=AnnoCalendario,MONTH(AgoDom1+13)=8),AgoDom1+13,""),IF(AND(YEAR(AgoDom1+20)=AnnoCalendario,MONTH(AgoDom1+20)=8),AgoDom1+20,""))</f>
        <v>45885</v>
      </c>
      <c r="H9" s="49">
        <f>IF(DAY(AgoDom1)=1,IF(AND(YEAR(AgoDom1+14)=AnnoCalendario,MONTH(AgoDom1+14)=8),AgoDom1+14,""),IF(AND(YEAR(AgoDom1+21)=AnnoCalendario,MONTH(AgoDom1+21)=8),AgoDom1+21,""))</f>
        <v>45886</v>
      </c>
      <c r="I9" s="3"/>
    </row>
    <row r="10" spans="1:18" s="21" customFormat="1" ht="109.95" customHeight="1">
      <c r="A10" s="19"/>
      <c r="B10" s="55" t="s">
        <v>149</v>
      </c>
      <c r="C10" s="55" t="s">
        <v>150</v>
      </c>
      <c r="D10" s="55" t="s">
        <v>151</v>
      </c>
      <c r="E10" s="55" t="s">
        <v>152</v>
      </c>
      <c r="F10" s="55" t="s">
        <v>153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IF(DAY(AgoDom1)=1,IF(AND(YEAR(AgoDom1+15)=AnnoCalendario,MONTH(AgoDom1+15)=8),AgoDom1+15,""),IF(AND(YEAR(AgoDom1+22)=AnnoCalendario,MONTH(AgoDom1+22)=8),AgoDom1+22,""))</f>
        <v>45887</v>
      </c>
      <c r="C11" s="37">
        <f>IF(DAY(AgoDom1)=1,IF(AND(YEAR(AgoDom1+16)=AnnoCalendario,MONTH(AgoDom1+16)=8),AgoDom1+16,""),IF(AND(YEAR(AgoDom1+23)=AnnoCalendario,MONTH(AgoDom1+23)=8),AgoDom1+23,""))</f>
        <v>45888</v>
      </c>
      <c r="D11" s="37">
        <f>IF(DAY(AgoDom1)=1,IF(AND(YEAR(AgoDom1+17)=AnnoCalendario,MONTH(AgoDom1+17)=8),AgoDom1+17,""),IF(AND(YEAR(AgoDom1+24)=AnnoCalendario,MONTH(AgoDom1+24)=8),AgoDom1+24,""))</f>
        <v>45889</v>
      </c>
      <c r="E11" s="37">
        <f>IF(DAY(AgoDom1)=1,IF(AND(YEAR(AgoDom1+18)=AnnoCalendario,MONTH(AgoDom1+18)=8),AgoDom1+18,""),IF(AND(YEAR(AgoDom1+25)=AnnoCalendario,MONTH(AgoDom1+25)=8),AgoDom1+25,""))</f>
        <v>45890</v>
      </c>
      <c r="F11" s="37">
        <f>IF(DAY(AgoDom1)=1,IF(AND(YEAR(AgoDom1+19)=AnnoCalendario,MONTH(AgoDom1+19)=8),AgoDom1+19,""),IF(AND(YEAR(AgoDom1+26)=AnnoCalendario,MONTH(AgoDom1+26)=8),AgoDom1+26,""))</f>
        <v>45891</v>
      </c>
      <c r="G11" s="49">
        <f>IF(DAY(AgoDom1)=1,IF(AND(YEAR(AgoDom1+20)=AnnoCalendario,MONTH(AgoDom1+20)=8),AgoDom1+20,""),IF(AND(YEAR(AgoDom1+27)=AnnoCalendario,MONTH(AgoDom1+27)=8),AgoDom1+27,""))</f>
        <v>45892</v>
      </c>
      <c r="H11" s="49">
        <f>IF(DAY(AgoDom1)=1,IF(AND(YEAR(AgoDom1+21)=AnnoCalendario,MONTH(AgoDom1+21)=8),AgoDom1+21,""),IF(AND(YEAR(AgoDom1+28)=AnnoCalendario,MONTH(AgoDom1+28)=8),AgoDom1+28,""))</f>
        <v>45893</v>
      </c>
      <c r="I11" s="3"/>
    </row>
    <row r="12" spans="1:18" s="21" customFormat="1" ht="109.95" customHeight="1">
      <c r="A12" s="19"/>
      <c r="B12" s="55" t="s">
        <v>154</v>
      </c>
      <c r="C12" s="55" t="s">
        <v>155</v>
      </c>
      <c r="D12" s="55" t="s">
        <v>146</v>
      </c>
      <c r="E12" s="55" t="s">
        <v>156</v>
      </c>
      <c r="F12" s="55" t="s">
        <v>157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IF(DAY(AgoDom1)=1,IF(AND(YEAR(AgoDom1+22)=AnnoCalendario,MONTH(AgoDom1+22)=8),AgoDom1+22,""),IF(AND(YEAR(AgoDom1+29)=AnnoCalendario,MONTH(AgoDom1+29)=8),AgoDom1+29,""))</f>
        <v>45894</v>
      </c>
      <c r="C13" s="37">
        <f>IF(DAY(AgoDom1)=1,IF(AND(YEAR(AgoDom1+23)=AnnoCalendario,MONTH(AgoDom1+23)=8),AgoDom1+23,""),IF(AND(YEAR(AgoDom1+30)=AnnoCalendario,MONTH(AgoDom1+30)=8),AgoDom1+30,""))</f>
        <v>45895</v>
      </c>
      <c r="D13" s="37">
        <f>IF(DAY(AgoDom1)=1,IF(AND(YEAR(AgoDom1+24)=AnnoCalendario,MONTH(AgoDom1+24)=8),AgoDom1+24,""),IF(AND(YEAR(AgoDom1+31)=AnnoCalendario,MONTH(AgoDom1+31)=8),AgoDom1+31,""))</f>
        <v>45896</v>
      </c>
      <c r="E13" s="37">
        <f>IF(DAY(AgoDom1)=1,IF(AND(YEAR(AgoDom1+25)=AnnoCalendario,MONTH(AgoDom1+25)=8),AgoDom1+25,""),IF(AND(YEAR(AgoDom1+32)=AnnoCalendario,MONTH(AgoDom1+32)=8),AgoDom1+32,""))</f>
        <v>45897</v>
      </c>
      <c r="F13" s="37">
        <f>IF(DAY(AgoDom1)=1,IF(AND(YEAR(AgoDom1+26)=AnnoCalendario,MONTH(AgoDom1+26)=8),AgoDom1+26,""),IF(AND(YEAR(AgoDom1+33)=AnnoCalendario,MONTH(AgoDom1+33)=8),AgoDom1+33,""))</f>
        <v>45898</v>
      </c>
      <c r="G13" s="49">
        <f>IF(DAY(AgoDom1)=1,IF(AND(YEAR(AgoDom1+27)=AnnoCalendario,MONTH(AgoDom1+27)=8),AgoDom1+27,""),IF(AND(YEAR(AgoDom1+34)=AnnoCalendario,MONTH(AgoDom1+34)=8),AgoDom1+34,""))</f>
        <v>45899</v>
      </c>
      <c r="H13" s="49">
        <f>IF(DAY(AgoDom1)=1,IF(AND(YEAR(AgoDom1+28)=AnnoCalendario,MONTH(AgoDom1+28)=8),AgoDom1+28,""),IF(AND(YEAR(AgoDom1+35)=AnnoCalendario,MONTH(AgoDom1+35)=8),AgoDom1+35,""))</f>
        <v>45900</v>
      </c>
      <c r="I13" s="3"/>
    </row>
    <row r="14" spans="1:18" s="21" customFormat="1" ht="109.95" customHeight="1">
      <c r="A14" s="19"/>
      <c r="B14" s="55" t="s">
        <v>158</v>
      </c>
      <c r="C14" s="55" t="s">
        <v>159</v>
      </c>
      <c r="D14" s="55" t="s">
        <v>160</v>
      </c>
      <c r="E14" s="55" t="s">
        <v>161</v>
      </c>
      <c r="F14" s="55" t="s">
        <v>162</v>
      </c>
      <c r="G14" s="48" t="s">
        <v>37</v>
      </c>
      <c r="H14" s="48" t="s">
        <v>37</v>
      </c>
      <c r="I14" s="20"/>
    </row>
    <row r="15" spans="1:18" ht="15" customHeight="1">
      <c r="A15"/>
      <c r="B15" s="13" t="str">
        <f>IF(DAY(AgoDom1)=1,IF(AND(YEAR(AgoDom1+29)=AnnoCalendario,MONTH(AgoDom1+29)=8),AgoDom1+29,""),IF(AND(YEAR(AgoDom1+36)=AnnoCalendario,MONTH(AgoDom1+36)=8),AgoDom1+36,""))</f>
        <v/>
      </c>
      <c r="C15" s="14" t="str">
        <f>IF(DAY(AgoDom1)=1,IF(AND(YEAR(AgoDom1+30)=AnnoCalendario,MONTH(AgoDom1+30)=8),AgoDom1+30,""),IF(AND(YEAR(AgoDom1+37)=AnnoCalendario,MONTH(AgoDom1+37)=8),AgoDom1+37,""))</f>
        <v/>
      </c>
      <c r="D15" s="28" t="s">
        <v>3</v>
      </c>
      <c r="E15" s="29"/>
      <c r="F15" s="29"/>
      <c r="G15" s="29"/>
      <c r="H15" s="30"/>
      <c r="I15" s="3"/>
    </row>
    <row r="16" spans="1:18" s="21" customFormat="1" ht="109.95" customHeight="1">
      <c r="A16" s="19"/>
      <c r="B16" s="17"/>
      <c r="C16" s="17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4F623B7C-A381-E842-BDFC-90DBF7275A0C}"/>
  </hyperlinks>
  <printOptions horizontalCentered="1" verticalCentered="1"/>
  <pageMargins left="0.2" right="0.2" top="0.25" bottom="0.25" header="0" footer="0"/>
  <pageSetup paperSize="9" scale="98" orientation="landscape" r:id="rId2"/>
  <headerFooter scaleWithDoc="0"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14999847407452621"/>
    <pageSetUpPr fitToPage="1"/>
  </sheetPr>
  <dimension ref="A1:R20"/>
  <sheetViews>
    <sheetView showGridLines="0" topLeftCell="A10" zoomScale="68" zoomScaleNormal="100" workbookViewId="0">
      <selection activeCell="B6" sqref="B6:F6"/>
    </sheetView>
  </sheetViews>
  <sheetFormatPr defaultColWidth="6.7265625" defaultRowHeight="13.8"/>
  <cols>
    <col min="1" max="1" width="3.1796875" style="1" customWidth="1"/>
    <col min="2" max="8" width="20.7265625" style="1" customWidth="1"/>
    <col min="9" max="10" width="13.7265625" style="1" customWidth="1"/>
    <col min="11" max="11" width="2.1796875" style="1" customWidth="1"/>
    <col min="12" max="12" width="11.7265625" style="1" customWidth="1"/>
    <col min="13" max="13" width="11.26953125" style="1" customWidth="1"/>
    <col min="14" max="16384" width="6.7265625" style="1"/>
  </cols>
  <sheetData>
    <row r="1" spans="1:18" ht="14.25" customHeight="1">
      <c r="A1"/>
    </row>
    <row r="2" spans="1:18" ht="30" customHeight="1">
      <c r="A2"/>
      <c r="B2" s="46"/>
      <c r="C2" s="46"/>
      <c r="D2" s="46"/>
      <c r="E2" s="46"/>
      <c r="F2" s="46"/>
      <c r="G2" s="46"/>
      <c r="H2" s="46"/>
      <c r="I2" s="46"/>
      <c r="J2" s="46"/>
    </row>
    <row r="3" spans="1:18" ht="62.25" customHeight="1">
      <c r="A3"/>
      <c r="B3" s="60" t="str">
        <f>UPPER(TEXT(DATE(AnnoCalendario,9,1),"mmmm aaaa"))</f>
        <v>SETTEMBRE 2025</v>
      </c>
      <c r="C3" s="60"/>
      <c r="D3" s="53" t="s">
        <v>262</v>
      </c>
      <c r="E3" s="53"/>
      <c r="F3" s="53"/>
      <c r="G3" s="53"/>
      <c r="H3" s="53"/>
      <c r="I3" s="53"/>
      <c r="J3" s="53"/>
    </row>
    <row r="4" spans="1:18" customFormat="1" ht="26.25" customHeight="1">
      <c r="B4" s="9" t="s">
        <v>0</v>
      </c>
      <c r="C4" s="10" t="s">
        <v>1</v>
      </c>
      <c r="D4" s="10" t="s">
        <v>2</v>
      </c>
      <c r="E4" s="10" t="s">
        <v>4</v>
      </c>
      <c r="F4" s="10" t="s">
        <v>5</v>
      </c>
      <c r="G4" s="10" t="s">
        <v>6</v>
      </c>
      <c r="H4" s="11" t="s">
        <v>7</v>
      </c>
      <c r="I4" s="1"/>
      <c r="J4" s="1"/>
      <c r="L4" s="1"/>
      <c r="M4" s="7"/>
      <c r="Q4" s="1"/>
      <c r="R4" s="1"/>
    </row>
    <row r="5" spans="1:18" customFormat="1" ht="15" customHeight="1">
      <c r="B5" s="34">
        <f>IF(DAY(SetDom1)=1,"",IF(AND(YEAR(SetDom1+1)=AnnoCalendario,MONTH(SetDom1+1)=9),SetDom1+1,""))</f>
        <v>45901</v>
      </c>
      <c r="C5" s="34">
        <f>IF(DAY(SetDom1)=1,"",IF(AND(YEAR(SetDom1+2)=AnnoCalendario,MONTH(SetDom1+2)=9),SetDom1+2,""))</f>
        <v>45902</v>
      </c>
      <c r="D5" s="34">
        <f>IF(DAY(SetDom1)=1,"",IF(AND(YEAR(SetDom1+3)=AnnoCalendario,MONTH(SetDom1+3)=9),SetDom1+3,""))</f>
        <v>45903</v>
      </c>
      <c r="E5" s="34">
        <f>IF(DAY(SetDom1)=1,"",IF(AND(YEAR(SetDom1+4)=AnnoCalendario,MONTH(SetDom1+4)=9),SetDom1+4,""))</f>
        <v>45904</v>
      </c>
      <c r="F5" s="34">
        <f>IF(DAY(SetDom1)=1,"",IF(AND(YEAR(SetDom1+5)=AnnoCalendario,MONTH(SetDom1+5)=9),SetDom1+5,""))</f>
        <v>45905</v>
      </c>
      <c r="G5" s="47">
        <f>IF(DAY(SetDom1)=1,"",IF(AND(YEAR(SetDom1+6)=AnnoCalendario,MONTH(SetDom1+6)=9),SetDom1+6,""))</f>
        <v>45906</v>
      </c>
      <c r="H5" s="47">
        <f>IF(DAY(SetDom1)=1,IF(AND(YEAR(SetDom1)=AnnoCalendario,MONTH(SetDom1)=9),SetDom1,""),IF(AND(YEAR(SetDom1+7)=AnnoCalendario,MONTH(SetDom1+7)=9),SetDom1+7,""))</f>
        <v>45907</v>
      </c>
      <c r="I5" s="3"/>
      <c r="K5" s="1"/>
      <c r="L5" s="1"/>
      <c r="M5" s="1"/>
      <c r="Q5" s="2"/>
      <c r="R5" s="1"/>
    </row>
    <row r="6" spans="1:18" s="23" customFormat="1" ht="109.95" customHeight="1">
      <c r="A6" s="22"/>
      <c r="B6" s="55" t="s">
        <v>163</v>
      </c>
      <c r="C6" s="55" t="s">
        <v>164</v>
      </c>
      <c r="D6" s="55" t="s">
        <v>165</v>
      </c>
      <c r="E6" s="55" t="s">
        <v>166</v>
      </c>
      <c r="F6" s="55" t="s">
        <v>167</v>
      </c>
      <c r="G6" s="48" t="s">
        <v>37</v>
      </c>
      <c r="H6" s="48" t="s">
        <v>37</v>
      </c>
      <c r="I6" s="20"/>
    </row>
    <row r="7" spans="1:18" ht="15" customHeight="1">
      <c r="A7"/>
      <c r="B7" s="34">
        <f>IF(DAY(SetDom1)=1,IF(AND(YEAR(SetDom1+1)=AnnoCalendario,MONTH(SetDom1+1)=9),SetDom1+1,""),IF(AND(YEAR(SetDom1+8)=AnnoCalendario,MONTH(SetDom1+8)=9),SetDom1+8,""))</f>
        <v>45908</v>
      </c>
      <c r="C7" s="34">
        <f>IF(DAY(SetDom1)=1,IF(AND(YEAR(SetDom1+2)=AnnoCalendario,MONTH(SetDom1+2)=9),SetDom1+2,""),IF(AND(YEAR(SetDom1+9)=AnnoCalendario,MONTH(SetDom1+9)=9),SetDom1+9,""))</f>
        <v>45909</v>
      </c>
      <c r="D7" s="34">
        <f>IF(DAY(SetDom1)=1,IF(AND(YEAR(SetDom1+3)=AnnoCalendario,MONTH(SetDom1+3)=9),SetDom1+3,""),IF(AND(YEAR(SetDom1+10)=AnnoCalendario,MONTH(SetDom1+10)=9),SetDom1+10,""))</f>
        <v>45910</v>
      </c>
      <c r="E7" s="34">
        <f>IF(DAY(SetDom1)=1,IF(AND(YEAR(SetDom1+4)=AnnoCalendario,MONTH(SetDom1+4)=9),SetDom1+4,""),IF(AND(YEAR(SetDom1+11)=AnnoCalendario,MONTH(SetDom1+11)=9),SetDom1+11,""))</f>
        <v>45911</v>
      </c>
      <c r="F7" s="34">
        <f>IF(DAY(SetDom1)=1,IF(AND(YEAR(SetDom1+5)=AnnoCalendario,MONTH(SetDom1+5)=9),SetDom1+5,""),IF(AND(YEAR(SetDom1+12)=AnnoCalendario,MONTH(SetDom1+12)=9),SetDom1+12,""))</f>
        <v>45912</v>
      </c>
      <c r="G7" s="47">
        <f>IF(DAY(SetDom1)=1,IF(AND(YEAR(SetDom1+6)=AnnoCalendario,MONTH(SetDom1+6)=9),SetDom1+6,""),IF(AND(YEAR(SetDom1+13)=AnnoCalendario,MONTH(SetDom1+13)=9),SetDom1+13,""))</f>
        <v>45913</v>
      </c>
      <c r="H7" s="47">
        <f>IF(DAY(SetDom1)=1,IF(AND(YEAR(SetDom1+7)=AnnoCalendario,MONTH(SetDom1+7)=9),SetDom1+7,""),IF(AND(YEAR(SetDom1+14)=AnnoCalendario,MONTH(SetDom1+14)=9),SetDom1+14,""))</f>
        <v>45914</v>
      </c>
      <c r="I7" s="3"/>
    </row>
    <row r="8" spans="1:18" s="23" customFormat="1" ht="109.95" customHeight="1">
      <c r="A8" s="22"/>
      <c r="B8" s="55" t="s">
        <v>168</v>
      </c>
      <c r="C8" s="55" t="s">
        <v>169</v>
      </c>
      <c r="D8" s="55" t="s">
        <v>170</v>
      </c>
      <c r="E8" s="55" t="s">
        <v>171</v>
      </c>
      <c r="F8" s="55" t="s">
        <v>172</v>
      </c>
      <c r="G8" s="48" t="s">
        <v>37</v>
      </c>
      <c r="H8" s="48" t="s">
        <v>37</v>
      </c>
      <c r="I8" s="20"/>
    </row>
    <row r="9" spans="1:18" ht="15" customHeight="1">
      <c r="A9"/>
      <c r="B9" s="37">
        <f>IF(DAY(SetDom1)=1,IF(AND(YEAR(SetDom1+8)=AnnoCalendario,MONTH(SetDom1+8)=9),SetDom1+8,""),IF(AND(YEAR(SetDom1+15)=AnnoCalendario,MONTH(SetDom1+15)=9),SetDom1+15,""))</f>
        <v>45915</v>
      </c>
      <c r="C9" s="37">
        <f>IF(DAY(SetDom1)=1,IF(AND(YEAR(SetDom1+9)=AnnoCalendario,MONTH(SetDom1+9)=9),SetDom1+9,""),IF(AND(YEAR(SetDom1+16)=AnnoCalendario,MONTH(SetDom1+16)=9),SetDom1+16,""))</f>
        <v>45916</v>
      </c>
      <c r="D9" s="37">
        <f>IF(DAY(SetDom1)=1,IF(AND(YEAR(SetDom1+10)=AnnoCalendario,MONTH(SetDom1+10)=9),SetDom1+10,""),IF(AND(YEAR(SetDom1+17)=AnnoCalendario,MONTH(SetDom1+17)=9),SetDom1+17,""))</f>
        <v>45917</v>
      </c>
      <c r="E9" s="37">
        <f>IF(DAY(SetDom1)=1,IF(AND(YEAR(SetDom1+11)=AnnoCalendario,MONTH(SetDom1+11)=9),SetDom1+11,""),IF(AND(YEAR(SetDom1+18)=AnnoCalendario,MONTH(SetDom1+18)=9),SetDom1+18,""))</f>
        <v>45918</v>
      </c>
      <c r="F9" s="37">
        <f>IF(DAY(SetDom1)=1,IF(AND(YEAR(SetDom1+12)=AnnoCalendario,MONTH(SetDom1+12)=9),SetDom1+12,""),IF(AND(YEAR(SetDom1+19)=AnnoCalendario,MONTH(SetDom1+19)=9),SetDom1+19,""))</f>
        <v>45919</v>
      </c>
      <c r="G9" s="49">
        <f>IF(DAY(SetDom1)=1,IF(AND(YEAR(SetDom1+13)=AnnoCalendario,MONTH(SetDom1+13)=9),SetDom1+13,""),IF(AND(YEAR(SetDom1+20)=AnnoCalendario,MONTH(SetDom1+20)=9),SetDom1+20,""))</f>
        <v>45920</v>
      </c>
      <c r="H9" s="49">
        <f>IF(DAY(SetDom1)=1,IF(AND(YEAR(SetDom1+14)=AnnoCalendario,MONTH(SetDom1+14)=9),SetDom1+14,""),IF(AND(YEAR(SetDom1+21)=AnnoCalendario,MONTH(SetDom1+21)=9),SetDom1+21,""))</f>
        <v>45921</v>
      </c>
      <c r="I9" s="3"/>
    </row>
    <row r="10" spans="1:18" s="23" customFormat="1" ht="109.95" customHeight="1">
      <c r="A10" s="22"/>
      <c r="B10" s="55" t="s">
        <v>193</v>
      </c>
      <c r="C10" s="55" t="s">
        <v>173</v>
      </c>
      <c r="D10" s="55" t="s">
        <v>174</v>
      </c>
      <c r="E10" s="55" t="s">
        <v>175</v>
      </c>
      <c r="F10" s="55" t="s">
        <v>176</v>
      </c>
      <c r="G10" s="48" t="s">
        <v>37</v>
      </c>
      <c r="H10" s="48" t="s">
        <v>37</v>
      </c>
      <c r="I10" s="20"/>
    </row>
    <row r="11" spans="1:18" ht="15" customHeight="1">
      <c r="A11"/>
      <c r="B11" s="37">
        <f>IF(DAY(SetDom1)=1,IF(AND(YEAR(SetDom1+15)=AnnoCalendario,MONTH(SetDom1+15)=9),SetDom1+15,""),IF(AND(YEAR(SetDom1+22)=AnnoCalendario,MONTH(SetDom1+22)=9),SetDom1+22,""))</f>
        <v>45922</v>
      </c>
      <c r="C11" s="37">
        <f>IF(DAY(SetDom1)=1,IF(AND(YEAR(SetDom1+16)=AnnoCalendario,MONTH(SetDom1+16)=9),SetDom1+16,""),IF(AND(YEAR(SetDom1+23)=AnnoCalendario,MONTH(SetDom1+23)=9),SetDom1+23,""))</f>
        <v>45923</v>
      </c>
      <c r="D11" s="37">
        <f>IF(DAY(SetDom1)=1,IF(AND(YEAR(SetDom1+17)=AnnoCalendario,MONTH(SetDom1+17)=9),SetDom1+17,""),IF(AND(YEAR(SetDom1+24)=AnnoCalendario,MONTH(SetDom1+24)=9),SetDom1+24,""))</f>
        <v>45924</v>
      </c>
      <c r="E11" s="37">
        <f>IF(DAY(SetDom1)=1,IF(AND(YEAR(SetDom1+18)=AnnoCalendario,MONTH(SetDom1+18)=9),SetDom1+18,""),IF(AND(YEAR(SetDom1+25)=AnnoCalendario,MONTH(SetDom1+25)=9),SetDom1+25,""))</f>
        <v>45925</v>
      </c>
      <c r="F11" s="37">
        <f>IF(DAY(SetDom1)=1,IF(AND(YEAR(SetDom1+19)=AnnoCalendario,MONTH(SetDom1+19)=9),SetDom1+19,""),IF(AND(YEAR(SetDom1+26)=AnnoCalendario,MONTH(SetDom1+26)=9),SetDom1+26,""))</f>
        <v>45926</v>
      </c>
      <c r="G11" s="49">
        <f>IF(DAY(SetDom1)=1,IF(AND(YEAR(SetDom1+20)=AnnoCalendario,MONTH(SetDom1+20)=9),SetDom1+20,""),IF(AND(YEAR(SetDom1+27)=AnnoCalendario,MONTH(SetDom1+27)=9),SetDom1+27,""))</f>
        <v>45927</v>
      </c>
      <c r="H11" s="49">
        <f>IF(DAY(SetDom1)=1,IF(AND(YEAR(SetDom1+21)=AnnoCalendario,MONTH(SetDom1+21)=9),SetDom1+21,""),IF(AND(YEAR(SetDom1+28)=AnnoCalendario,MONTH(SetDom1+28)=9),SetDom1+28,""))</f>
        <v>45928</v>
      </c>
      <c r="I11" s="3"/>
    </row>
    <row r="12" spans="1:18" s="23" customFormat="1" ht="109.95" customHeight="1">
      <c r="A12" s="22"/>
      <c r="B12" s="55" t="s">
        <v>177</v>
      </c>
      <c r="C12" s="55" t="s">
        <v>178</v>
      </c>
      <c r="D12" s="55" t="s">
        <v>179</v>
      </c>
      <c r="E12" s="55" t="s">
        <v>180</v>
      </c>
      <c r="F12" s="55" t="s">
        <v>181</v>
      </c>
      <c r="G12" s="48" t="s">
        <v>37</v>
      </c>
      <c r="H12" s="48" t="s">
        <v>37</v>
      </c>
      <c r="I12" s="20"/>
    </row>
    <row r="13" spans="1:18" ht="15" customHeight="1">
      <c r="A13"/>
      <c r="B13" s="37">
        <f>IF(DAY(SetDom1)=1,IF(AND(YEAR(SetDom1+22)=AnnoCalendario,MONTH(SetDom1+22)=9),SetDom1+22,""),IF(AND(YEAR(SetDom1+29)=AnnoCalendario,MONTH(SetDom1+29)=9),SetDom1+29,""))</f>
        <v>45929</v>
      </c>
      <c r="C13" s="37">
        <f>IF(DAY(SetDom1)=1,IF(AND(YEAR(SetDom1+23)=AnnoCalendario,MONTH(SetDom1+23)=9),SetDom1+23,""),IF(AND(YEAR(SetDom1+30)=AnnoCalendario,MONTH(SetDom1+30)=9),SetDom1+30,""))</f>
        <v>45930</v>
      </c>
      <c r="D13" s="37" t="str">
        <f>IF(DAY(SetDom1)=1,IF(AND(YEAR(SetDom1+24)=AnnoCalendario,MONTH(SetDom1+24)=9),SetDom1+24,""),IF(AND(YEAR(SetDom1+31)=AnnoCalendario,MONTH(SetDom1+31)=9),SetDom1+31,""))</f>
        <v/>
      </c>
      <c r="E13" s="37" t="str">
        <f>IF(DAY(SetDom1)=1,IF(AND(YEAR(SetDom1+25)=AnnoCalendario,MONTH(SetDom1+25)=9),SetDom1+25,""),IF(AND(YEAR(SetDom1+32)=AnnoCalendario,MONTH(SetDom1+32)=9),SetDom1+32,""))</f>
        <v/>
      </c>
      <c r="F13" s="37" t="str">
        <f>IF(DAY(SetDom1)=1,IF(AND(YEAR(SetDom1+26)=AnnoCalendario,MONTH(SetDom1+26)=9),SetDom1+26,""),IF(AND(YEAR(SetDom1+33)=AnnoCalendario,MONTH(SetDom1+33)=9),SetDom1+33,""))</f>
        <v/>
      </c>
      <c r="G13" s="37" t="str">
        <f>IF(DAY(SetDom1)=1,IF(AND(YEAR(SetDom1+27)=AnnoCalendario,MONTH(SetDom1+27)=9),SetDom1+27,""),IF(AND(YEAR(SetDom1+34)=AnnoCalendario,MONTH(SetDom1+34)=9),SetDom1+34,""))</f>
        <v/>
      </c>
      <c r="H13" s="37" t="str">
        <f>IF(DAY(SetDom1)=1,IF(AND(YEAR(SetDom1+28)=AnnoCalendario,MONTH(SetDom1+28)=9),SetDom1+28,""),IF(AND(YEAR(SetDom1+35)=AnnoCalendario,MONTH(SetDom1+35)=9),SetDom1+35,""))</f>
        <v/>
      </c>
      <c r="I13" s="3"/>
    </row>
    <row r="14" spans="1:18" s="23" customFormat="1" ht="109.95" customHeight="1">
      <c r="A14" s="22"/>
      <c r="B14" s="55" t="s">
        <v>182</v>
      </c>
      <c r="C14" s="56" t="s">
        <v>183</v>
      </c>
      <c r="D14" s="35"/>
      <c r="E14" s="35"/>
      <c r="F14" s="35"/>
      <c r="G14" s="43"/>
      <c r="H14" s="43"/>
      <c r="I14" s="20"/>
    </row>
    <row r="15" spans="1:18" ht="15" customHeight="1">
      <c r="A15"/>
      <c r="B15" s="13" t="str">
        <f>IF(DAY(SetDom1)=1,IF(AND(YEAR(SetDom1+29)=AnnoCalendario,MONTH(SetDom1+29)=9),SetDom1+29,""),IF(AND(YEAR(SetDom1+36)=AnnoCalendario,MONTH(SetDom1+36)=9),SetDom1+36,""))</f>
        <v/>
      </c>
      <c r="C15" s="14" t="str">
        <f>IF(DAY(SetDom1)=1,IF(AND(YEAR(SetDom1+30)=AnnoCalendario,MONTH(SetDom1+30)=9),SetDom1+30,""),IF(AND(YEAR(SetDom1+37)=AnnoCalendario,MONTH(SetDom1+37)=9),SetDom1+37,""))</f>
        <v/>
      </c>
      <c r="D15" s="28" t="s">
        <v>3</v>
      </c>
      <c r="E15" s="29"/>
      <c r="F15" s="29"/>
      <c r="G15" s="29"/>
      <c r="H15" s="30"/>
      <c r="I15" s="3"/>
    </row>
    <row r="16" spans="1:18" s="23" customFormat="1" ht="109.95" customHeight="1">
      <c r="A16" s="22"/>
      <c r="B16" s="18"/>
      <c r="C16" s="18"/>
      <c r="D16" s="25" t="s">
        <v>269</v>
      </c>
      <c r="E16" s="26"/>
      <c r="F16" s="26"/>
      <c r="G16" s="26"/>
      <c r="H16" s="27"/>
      <c r="I16" s="20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sheetProtection selectLockedCells="1" selectUnlockedCells="1"/>
  <mergeCells count="4">
    <mergeCell ref="D15:H15"/>
    <mergeCell ref="D16:H16"/>
    <mergeCell ref="B3:C3"/>
    <mergeCell ref="D3:J3"/>
  </mergeCells>
  <hyperlinks>
    <hyperlink ref="D16:H16" r:id="rId1" display="https://1drv.ms/b/s!AqJ5MhF8daU4hd1S7SBTxSoJjp3uaw?e=Rfkhym" xr:uid="{D99B5AC3-2169-1E48-8734-EB59B1ED5042}"/>
  </hyperlinks>
  <printOptions horizontalCentered="1" verticalCentered="1"/>
  <pageMargins left="0.2" right="0.2" top="0.25" bottom="0.25" header="0" footer="0"/>
  <pageSetup paperSize="9" scale="98" orientation="landscape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873beb7-5857-4685-be1f-d57550cc96cc" xsi:nil="true"/>
    <AssetExpire xmlns="4873beb7-5857-4685-be1f-d57550cc96cc">2029-01-01T08:00:00+00:00</AssetExpire>
    <CampaignTagsTaxHTField0 xmlns="4873beb7-5857-4685-be1f-d57550cc96cc">
      <Terms xmlns="http://schemas.microsoft.com/office/infopath/2007/PartnerControls"/>
    </CampaignTagsTaxHTField0>
    <IntlLangReviewDate xmlns="4873beb7-5857-4685-be1f-d57550cc96cc" xsi:nil="true"/>
    <TPFriendlyName xmlns="4873beb7-5857-4685-be1f-d57550cc96cc" xsi:nil="true"/>
    <IntlLangReview xmlns="4873beb7-5857-4685-be1f-d57550cc96cc">false</IntlLangReview>
    <LocLastLocAttemptVersionLookup xmlns="4873beb7-5857-4685-be1f-d57550cc96cc">856622</LocLastLocAttemptVersionLookup>
    <PolicheckWords xmlns="4873beb7-5857-4685-be1f-d57550cc96cc" xsi:nil="true"/>
    <SubmitterId xmlns="4873beb7-5857-4685-be1f-d57550cc96cc" xsi:nil="true"/>
    <AcquiredFrom xmlns="4873beb7-5857-4685-be1f-d57550cc96cc">Internal MS</AcquiredFrom>
    <EditorialStatus xmlns="4873beb7-5857-4685-be1f-d57550cc96cc">Complete</EditorialStatus>
    <Markets xmlns="4873beb7-5857-4685-be1f-d57550cc96cc"/>
    <OriginAsset xmlns="4873beb7-5857-4685-be1f-d57550cc96cc" xsi:nil="true"/>
    <AssetStart xmlns="4873beb7-5857-4685-be1f-d57550cc96cc">2012-09-19T11:18:00+00:00</AssetStart>
    <FriendlyTitle xmlns="4873beb7-5857-4685-be1f-d57550cc96cc" xsi:nil="true"/>
    <MarketSpecific xmlns="4873beb7-5857-4685-be1f-d57550cc96cc">false</MarketSpecific>
    <TPNamespace xmlns="4873beb7-5857-4685-be1f-d57550cc96cc" xsi:nil="true"/>
    <PublishStatusLookup xmlns="4873beb7-5857-4685-be1f-d57550cc96cc">
      <Value>1622659</Value>
    </PublishStatusLookup>
    <APAuthor xmlns="4873beb7-5857-4685-be1f-d57550cc96cc">
      <UserInfo>
        <DisplayName>REDMOND\v-anij</DisplayName>
        <AccountId>2469</AccountId>
        <AccountType/>
      </UserInfo>
    </APAuthor>
    <TPCommandLine xmlns="4873beb7-5857-4685-be1f-d57550cc96cc" xsi:nil="true"/>
    <IntlLangReviewer xmlns="4873beb7-5857-4685-be1f-d57550cc96cc" xsi:nil="true"/>
    <OpenTemplate xmlns="4873beb7-5857-4685-be1f-d57550cc96cc">true</OpenTemplate>
    <CSXSubmissionDate xmlns="4873beb7-5857-4685-be1f-d57550cc96cc" xsi:nil="true"/>
    <TaxCatchAll xmlns="4873beb7-5857-4685-be1f-d57550cc96cc"/>
    <Manager xmlns="4873beb7-5857-4685-be1f-d57550cc96cc" xsi:nil="true"/>
    <NumericId xmlns="4873beb7-5857-4685-be1f-d57550cc96cc" xsi:nil="true"/>
    <ParentAssetId xmlns="4873beb7-5857-4685-be1f-d57550cc96cc" xsi:nil="true"/>
    <OriginalSourceMarket xmlns="4873beb7-5857-4685-be1f-d57550cc96cc" xsi:nil="true"/>
    <ApprovalStatus xmlns="4873beb7-5857-4685-be1f-d57550cc96cc">InProgress</ApprovalStatus>
    <TPComponent xmlns="4873beb7-5857-4685-be1f-d57550cc96cc" xsi:nil="true"/>
    <EditorialTags xmlns="4873beb7-5857-4685-be1f-d57550cc96cc" xsi:nil="true"/>
    <TPExecutable xmlns="4873beb7-5857-4685-be1f-d57550cc96cc" xsi:nil="true"/>
    <TPLaunchHelpLink xmlns="4873beb7-5857-4685-be1f-d57550cc96cc" xsi:nil="true"/>
    <LocComments xmlns="4873beb7-5857-4685-be1f-d57550cc96cc" xsi:nil="true"/>
    <LocRecommendedHandoff xmlns="4873beb7-5857-4685-be1f-d57550cc96cc" xsi:nil="true"/>
    <SourceTitle xmlns="4873beb7-5857-4685-be1f-d57550cc96cc" xsi:nil="true"/>
    <CSXUpdate xmlns="4873beb7-5857-4685-be1f-d57550cc96cc">false</CSXUpdate>
    <IntlLocPriority xmlns="4873beb7-5857-4685-be1f-d57550cc96cc" xsi:nil="true"/>
    <UAProjectedTotalWords xmlns="4873beb7-5857-4685-be1f-d57550cc96cc" xsi:nil="true"/>
    <AssetType xmlns="4873beb7-5857-4685-be1f-d57550cc96cc">TP</AssetType>
    <MachineTranslated xmlns="4873beb7-5857-4685-be1f-d57550cc96cc">false</MachineTranslated>
    <OutputCachingOn xmlns="4873beb7-5857-4685-be1f-d57550cc96cc">false</OutputCachingOn>
    <TemplateStatus xmlns="4873beb7-5857-4685-be1f-d57550cc96cc">Complete</TemplateStatus>
    <IsSearchable xmlns="4873beb7-5857-4685-be1f-d57550cc96cc">true</IsSearchable>
    <ContentItem xmlns="4873beb7-5857-4685-be1f-d57550cc96cc" xsi:nil="true"/>
    <HandoffToMSDN xmlns="4873beb7-5857-4685-be1f-d57550cc96cc" xsi:nil="true"/>
    <ShowIn xmlns="4873beb7-5857-4685-be1f-d57550cc96cc">Show everywhere</ShowIn>
    <ThumbnailAssetId xmlns="4873beb7-5857-4685-be1f-d57550cc96cc" xsi:nil="true"/>
    <UALocComments xmlns="4873beb7-5857-4685-be1f-d57550cc96cc" xsi:nil="true"/>
    <UALocRecommendation xmlns="4873beb7-5857-4685-be1f-d57550cc96cc">Localize</UALocRecommendation>
    <LastModifiedDateTime xmlns="4873beb7-5857-4685-be1f-d57550cc96cc" xsi:nil="true"/>
    <LegacyData xmlns="4873beb7-5857-4685-be1f-d57550cc96cc" xsi:nil="true"/>
    <LocManualTestRequired xmlns="4873beb7-5857-4685-be1f-d57550cc96cc">false</LocManualTestRequired>
    <LocMarketGroupTiers2 xmlns="4873beb7-5857-4685-be1f-d57550cc96cc" xsi:nil="true"/>
    <ClipArtFilename xmlns="4873beb7-5857-4685-be1f-d57550cc96cc" xsi:nil="true"/>
    <TPApplication xmlns="4873beb7-5857-4685-be1f-d57550cc96cc" xsi:nil="true"/>
    <CSXHash xmlns="4873beb7-5857-4685-be1f-d57550cc96cc" xsi:nil="true"/>
    <DirectSourceMarket xmlns="4873beb7-5857-4685-be1f-d57550cc96cc" xsi:nil="true"/>
    <PrimaryImageGen xmlns="4873beb7-5857-4685-be1f-d57550cc96cc">false</PrimaryImageGen>
    <PlannedPubDate xmlns="4873beb7-5857-4685-be1f-d57550cc96cc" xsi:nil="true"/>
    <CSXSubmissionMarket xmlns="4873beb7-5857-4685-be1f-d57550cc96cc" xsi:nil="true"/>
    <Downloads xmlns="4873beb7-5857-4685-be1f-d57550cc96cc">0</Downloads>
    <ArtSampleDocs xmlns="4873beb7-5857-4685-be1f-d57550cc96cc" xsi:nil="true"/>
    <TrustLevel xmlns="4873beb7-5857-4685-be1f-d57550cc96cc">1 Microsoft Managed Content</TrustLevel>
    <BlockPublish xmlns="4873beb7-5857-4685-be1f-d57550cc96cc">false</BlockPublish>
    <TPLaunchHelpLinkType xmlns="4873beb7-5857-4685-be1f-d57550cc96cc">Template</TPLaunchHelpLinkType>
    <LocalizationTagsTaxHTField0 xmlns="4873beb7-5857-4685-be1f-d57550cc96cc">
      <Terms xmlns="http://schemas.microsoft.com/office/infopath/2007/PartnerControls"/>
    </LocalizationTagsTaxHTField0>
    <BusinessGroup xmlns="4873beb7-5857-4685-be1f-d57550cc96cc" xsi:nil="true"/>
    <Providers xmlns="4873beb7-5857-4685-be1f-d57550cc96cc" xsi:nil="true"/>
    <TemplateTemplateType xmlns="4873beb7-5857-4685-be1f-d57550cc96cc">Excel Spreadsheet Template</TemplateTemplateType>
    <TimesCloned xmlns="4873beb7-5857-4685-be1f-d57550cc96cc" xsi:nil="true"/>
    <TPAppVersion xmlns="4873beb7-5857-4685-be1f-d57550cc96cc" xsi:nil="true"/>
    <VoteCount xmlns="4873beb7-5857-4685-be1f-d57550cc96cc" xsi:nil="true"/>
    <AverageRating xmlns="4873beb7-5857-4685-be1f-d57550cc96cc" xsi:nil="true"/>
    <FeatureTagsTaxHTField0 xmlns="4873beb7-5857-4685-be1f-d57550cc96cc">
      <Terms xmlns="http://schemas.microsoft.com/office/infopath/2007/PartnerControls"/>
    </FeatureTagsTaxHTField0>
    <Provider xmlns="4873beb7-5857-4685-be1f-d57550cc96cc" xsi:nil="true"/>
    <UACurrentWords xmlns="4873beb7-5857-4685-be1f-d57550cc96cc" xsi:nil="true"/>
    <AssetId xmlns="4873beb7-5857-4685-be1f-d57550cc96cc">TP103458065</AssetId>
    <TPClientViewer xmlns="4873beb7-5857-4685-be1f-d57550cc96cc" xsi:nil="true"/>
    <DSATActionTaken xmlns="4873beb7-5857-4685-be1f-d57550cc96cc" xsi:nil="true"/>
    <APEditor xmlns="4873beb7-5857-4685-be1f-d57550cc96cc">
      <UserInfo>
        <DisplayName/>
        <AccountId xsi:nil="true"/>
        <AccountType/>
      </UserInfo>
    </APEditor>
    <TPInstallLocation xmlns="4873beb7-5857-4685-be1f-d57550cc96cc" xsi:nil="true"/>
    <OOCacheId xmlns="4873beb7-5857-4685-be1f-d57550cc96cc" xsi:nil="true"/>
    <IsDeleted xmlns="4873beb7-5857-4685-be1f-d57550cc96cc">false</IsDeleted>
    <PublishTargets xmlns="4873beb7-5857-4685-be1f-d57550cc96cc">OfficeOnlineVNext</PublishTargets>
    <ApprovalLog xmlns="4873beb7-5857-4685-be1f-d57550cc96cc" xsi:nil="true"/>
    <BugNumber xmlns="4873beb7-5857-4685-be1f-d57550cc96cc" xsi:nil="true"/>
    <CrawlForDependencies xmlns="4873beb7-5857-4685-be1f-d57550cc96cc">false</CrawlForDependencies>
    <InternalTagsTaxHTField0 xmlns="4873beb7-5857-4685-be1f-d57550cc96cc">
      <Terms xmlns="http://schemas.microsoft.com/office/infopath/2007/PartnerControls"/>
    </InternalTagsTaxHTField0>
    <LastHandOff xmlns="4873beb7-5857-4685-be1f-d57550cc96cc" xsi:nil="true"/>
    <Milestone xmlns="4873beb7-5857-4685-be1f-d57550cc96cc" xsi:nil="true"/>
    <OriginalRelease xmlns="4873beb7-5857-4685-be1f-d57550cc96cc">15</OriginalRelease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UANotes xmlns="4873beb7-5857-4685-be1f-d57550cc96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3A85211-E3EF-4462-8EF7-B98D9AD79D9F}">
  <ds:schemaRefs>
    <ds:schemaRef ds:uri="http://schemas.microsoft.com/office/2006/documentManagement/types"/>
    <ds:schemaRef ds:uri="4873beb7-5857-4685-be1f-d57550cc96cc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4D866BB-53A8-4AA2-8213-3C5DD1E76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BE4E2F-F9E2-47EA-9749-00C2632BC6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TM03458076</Template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13</vt:i4>
      </vt:variant>
    </vt:vector>
  </HeadingPairs>
  <TitlesOfParts>
    <vt:vector size="25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AnnoCalendario</vt:lpstr>
      <vt:lpstr>Ago!Area_stampa</vt:lpstr>
      <vt:lpstr>Apr!Area_stampa</vt:lpstr>
      <vt:lpstr>Dic!Area_stampa</vt:lpstr>
      <vt:lpstr>Feb!Area_stampa</vt:lpstr>
      <vt:lpstr>Gen!Area_stampa</vt:lpstr>
      <vt:lpstr>Giu!Area_stampa</vt:lpstr>
      <vt:lpstr>Lug!Area_stampa</vt:lpstr>
      <vt:lpstr>Mag!Area_stampa</vt:lpstr>
      <vt:lpstr>Mar!Area_stampa</vt:lpstr>
      <vt:lpstr>Nov!Area_stampa</vt:lpstr>
      <vt:lpstr>Ott!Area_stampa</vt:lpstr>
      <vt:lpstr>Set!Area_stampa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lastModifiedBy>Angelo Nero</cp:lastModifiedBy>
  <cp:lastPrinted>2022-11-22T10:59:38Z</cp:lastPrinted>
  <dcterms:created xsi:type="dcterms:W3CDTF">2012-09-17T22:36:33Z</dcterms:created>
  <dcterms:modified xsi:type="dcterms:W3CDTF">2024-12-19T10:54:00Z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</Properties>
</file>